
<file path=[Content_Types].xml><?xml version="1.0" encoding="utf-8"?>
<Types xmlns="http://schemas.openxmlformats.org/package/2006/content-types">
  <Default Extension="bin" ContentType="application/vnd.openxmlformats-officedocument.spreadsheetml.printerSettings"/>
  <Override PartName="/xl/embeddings/oleObject7.bin" ContentType="application/vnd.openxmlformats-officedocument.oleObject"/>
  <Override PartName="/xl/embeddings/oleObject8.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Default Extension="emf" ContentType="image/x-emf"/>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embeddings/oleObject9.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48" windowWidth="19392" windowHeight="7380" activeTab="3"/>
  </bookViews>
  <sheets>
    <sheet name="Main" sheetId="3" r:id="rId1"/>
    <sheet name="Wide Dimming Flyback" sheetId="1" r:id="rId2"/>
    <sheet name="Wide Dimming Buckboost" sheetId="2" r:id="rId3"/>
    <sheet name="Wide I&amp;O Flyback" sheetId="7" r:id="rId4"/>
    <sheet name="Wide I&amp;O Buckboost" sheetId="8" r:id="rId5"/>
  </sheets>
  <definedNames>
    <definedName name="A.ivc.start" localSheetId="2">'Wide Dimming Buckboost'!$O$111</definedName>
    <definedName name="A.ivc.start" localSheetId="4">'Wide I&amp;O Buckboost'!$O$104</definedName>
    <definedName name="A.ivc.start" localSheetId="3">'Wide I&amp;O Flyback'!$O$121</definedName>
    <definedName name="A.ivc.start">'Wide Dimming Flyback'!$O$111</definedName>
    <definedName name="A.Vrivc" localSheetId="2">'Wide Dimming Buckboost'!$O$120</definedName>
    <definedName name="A.Vrivc" localSheetId="4">'Wide I&amp;O Buckboost'!$O$113</definedName>
    <definedName name="A.Vrivc" localSheetId="3">'Wide I&amp;O Flyback'!$O$130</definedName>
    <definedName name="A.Vrivc">'Wide Dimming Flyback'!$O$120</definedName>
    <definedName name="Ae" localSheetId="2">'Wide Dimming Buckboost'!$G$121</definedName>
    <definedName name="Ae" localSheetId="4">'Wide I&amp;O Buckboost'!$G$116</definedName>
    <definedName name="Ae" localSheetId="3">'Wide I&amp;O Flyback'!$G$133</definedName>
    <definedName name="Ae">'Wide Dimming Flyback'!$G$121</definedName>
    <definedName name="BMAX" localSheetId="2">'Wide Dimming Buckboost'!$G$31</definedName>
    <definedName name="BMAX" localSheetId="4">'Wide I&amp;O Buckboost'!$G$31</definedName>
    <definedName name="BMAX" localSheetId="3">'Wide I&amp;O Flyback'!$G$31</definedName>
    <definedName name="BMAX">'Wide Dimming Flyback'!$G$31</definedName>
    <definedName name="C.IN2" localSheetId="2">'Wide Dimming Buckboost'!$O$126</definedName>
    <definedName name="C.IN2" localSheetId="4">'Wide I&amp;O Buckboost'!$O$119</definedName>
    <definedName name="C.IN2" localSheetId="3">'Wide I&amp;O Flyback'!$O$136</definedName>
    <definedName name="C.IN2">'Wide Dimming Flyback'!$O$126</definedName>
    <definedName name="CenterVin.pk" localSheetId="2">'Wide Dimming Buckboost'!$O$101</definedName>
    <definedName name="CenterVin.pk" localSheetId="4">'Wide I&amp;O Buckboost'!$O$96</definedName>
    <definedName name="CenterVin.pk" localSheetId="3">'Wide I&amp;O Flyback'!$O$113</definedName>
    <definedName name="CenterVin.pk">'Wide Dimming Flyback'!$O$101</definedName>
    <definedName name="Csn" localSheetId="3">'Wide I&amp;O Flyback'!$G$146</definedName>
    <definedName name="Csn">'Wide Dimming Flyback'!$G$134</definedName>
    <definedName name="Ctop" localSheetId="2">'Wide Dimming Buckboost'!$K$119</definedName>
    <definedName name="Ctop" localSheetId="4">'Wide I&amp;O Buckboost'!#REF!</definedName>
    <definedName name="Ctop" localSheetId="3">'Wide I&amp;O Flyback'!#REF!</definedName>
    <definedName name="Ctop">'Wide Dimming Flyback'!$K$120</definedName>
    <definedName name="Ctotal" localSheetId="2">'Wide Dimming Buckboost'!$O$108</definedName>
    <definedName name="Ctotal" localSheetId="4">'Wide I&amp;O Buckboost'!$O$102</definedName>
    <definedName name="Ctotal" localSheetId="3">'Wide I&amp;O Flyback'!$O$119</definedName>
    <definedName name="Ctotal">'Wide Dimming Flyback'!$O$108</definedName>
    <definedName name="Eff" localSheetId="2">'Wide Dimming Buckboost'!$C$107</definedName>
    <definedName name="Eff" localSheetId="4">'Wide I&amp;O Buckboost'!$C$102</definedName>
    <definedName name="Eff" localSheetId="3">'Wide I&amp;O Flyback'!$C$119</definedName>
    <definedName name="Eff">'Wide Dimming Flyback'!$C$107</definedName>
    <definedName name="I.DP.BIAS" localSheetId="3">'Wide I&amp;O Flyback'!$S$113</definedName>
    <definedName name="I.DP.BIAS">'Wide Dimming Flyback'!$S$101</definedName>
    <definedName name="I.DP.MAX" localSheetId="3">'Wide I&amp;O Flyback'!$S$118</definedName>
    <definedName name="I.DP.MAX">'Wide Dimming Flyback'!$S$106</definedName>
    <definedName name="Iin.maxVin.180PA.woOTC" localSheetId="2">'Wide Dimming Buckboost'!$K$145</definedName>
    <definedName name="Iin.maxVin.180PA.woOTC" localSheetId="4">'Wide I&amp;O Buckboost'!$K$119</definedName>
    <definedName name="Iin.maxVin.180PA.woOTC" localSheetId="3">'Wide I&amp;O Flyback'!$K$137</definedName>
    <definedName name="Iin.maxVin.180PA.woOTC">'Wide Dimming Flyback'!$K$146</definedName>
    <definedName name="Iin.meanVin.180PA" localSheetId="2">'Wide Dimming Buckboost'!$C$115</definedName>
    <definedName name="Iin.meanVin.180PA" localSheetId="4">'Wide I&amp;O Buckboost'!$C$110</definedName>
    <definedName name="Iin.meanVin.180PA" localSheetId="3">'Wide I&amp;O Flyback'!$C$127</definedName>
    <definedName name="Iin.meanVin.180PA">'Wide Dimming Flyback'!$C$115</definedName>
    <definedName name="Iin.meanVin.maxPA" localSheetId="2">'Wide Dimming Buckboost'!$C$114</definedName>
    <definedName name="Iin.meanVin.maxPA" localSheetId="4">'Wide I&amp;O Buckboost'!$C$109</definedName>
    <definedName name="Iin.meanVin.maxPA" localSheetId="3">'Wide I&amp;O Flyback'!$C$126</definedName>
    <definedName name="Iin.meanVin.maxPA">'Wide Dimming Flyback'!$C$114</definedName>
    <definedName name="Iin.min" localSheetId="2">'Wide Dimming Buckboost'!$C$111</definedName>
    <definedName name="Iin.min" localSheetId="4">'Wide I&amp;O Buckboost'!$C$106</definedName>
    <definedName name="Iin.min" localSheetId="3">'Wide I&amp;O Flyback'!$C$123</definedName>
    <definedName name="Iin.min">'Wide Dimming Flyback'!$C$111</definedName>
    <definedName name="Iin.minVin.180PA" localSheetId="2">'Wide Dimming Buckboost'!$C$113</definedName>
    <definedName name="Iin.minVin.180PA" localSheetId="4">'Wide I&amp;O Buckboost'!$C$108</definedName>
    <definedName name="Iin.minVin.180PA" localSheetId="3">'Wide I&amp;O Flyback'!$C$125</definedName>
    <definedName name="Iin.minVin.180PA">'Wide Dimming Flyback'!$C$113</definedName>
    <definedName name="Iin.minVin.maxPA" localSheetId="2">'Wide Dimming Buckboost'!$C$112</definedName>
    <definedName name="Iin.minVin.maxPA" localSheetId="4">'Wide I&amp;O Buckboost'!$C$107</definedName>
    <definedName name="Iin.minVin.maxPA" localSheetId="3">'Wide I&amp;O Flyback'!$C$124</definedName>
    <definedName name="Iin.minVin.maxPA">'Wide Dimming Flyback'!$C$112</definedName>
    <definedName name="Iin.pk" localSheetId="3">'Wide I&amp;O Flyback'!$S$117</definedName>
    <definedName name="Iin.pk">'Wide Dimming Flyback'!$S$105</definedName>
    <definedName name="Imax.ivc" localSheetId="2">'Wide Dimming Buckboost'!$O$124</definedName>
    <definedName name="Imax.ivc" localSheetId="4">'Wide I&amp;O Buckboost'!$O$117</definedName>
    <definedName name="Imax.ivc" localSheetId="3">'Wide I&amp;O Flyback'!$O$134</definedName>
    <definedName name="Imax.ivc">'Wide Dimming Flyback'!$O$124</definedName>
    <definedName name="Ipk_at_dim_bcm" localSheetId="2">'Wide Dimming Buckboost'!$G$114</definedName>
    <definedName name="Ipk_at_dim_bcm" localSheetId="4">'Wide I&amp;O Buckboost'!$G$109</definedName>
    <definedName name="Ipk_at_dim_bcm" localSheetId="3">'Wide I&amp;O Flyback'!$G$126</definedName>
    <definedName name="Ipk_at_dim_bcm">'Wide Dimming Flyback'!$G$114</definedName>
    <definedName name="Ipk_at_dim_dcm" localSheetId="2">'Wide Dimming Buckboost'!$G$110</definedName>
    <definedName name="Ipk_at_dim_dcm" localSheetId="4">'Wide I&amp;O Buckboost'!$G$105</definedName>
    <definedName name="Ipk_at_dim_dcm" localSheetId="3">'Wide I&amp;O Flyback'!$G$122</definedName>
    <definedName name="Ipk_at_dim_dcm">'Wide Dimming Flyback'!$G$110</definedName>
    <definedName name="Ipk_at_non_dim" localSheetId="2">'Wide Dimming Buckboost'!$G$108</definedName>
    <definedName name="Ipk_at_non_dim" localSheetId="4">'Wide I&amp;O Buckboost'!$G$103</definedName>
    <definedName name="Ipk_at_non_dim" localSheetId="3">'Wide I&amp;O Flyback'!$G$120</definedName>
    <definedName name="Ipk_at_non_dim">'Wide Dimming Flyback'!$G$108</definedName>
    <definedName name="Ipk_max" localSheetId="2">'Wide Dimming Buckboost'!$G$112</definedName>
    <definedName name="Ipk_max" localSheetId="4">'Wide I&amp;O Buckboost'!$G$107</definedName>
    <definedName name="Ipk_max" localSheetId="3">'Wide I&amp;O Flyback'!$G$124</definedName>
    <definedName name="Ipk_max">'Wide Dimming Flyback'!$G$112</definedName>
    <definedName name="Ipk_max_final" localSheetId="2">'Wide Dimming Buckboost'!$G$119</definedName>
    <definedName name="Ipk_max_final" localSheetId="4">'Wide I&amp;O Buckboost'!$G$114</definedName>
    <definedName name="Ipk_max_final" localSheetId="3">'Wide I&amp;O Flyback'!$G$131</definedName>
    <definedName name="Ipk_max_final">'Wide Dimming Flyback'!$G$119</definedName>
    <definedName name="Isw.rms" localSheetId="2">'Wide Dimming Buckboost'!$G$127</definedName>
    <definedName name="Isw.rms" localSheetId="4">'Wide I&amp;O Buckboost'!$G$122</definedName>
    <definedName name="Isw.rms" localSheetId="3">'Wide I&amp;O Flyback'!$G$148</definedName>
    <definedName name="Isw.rms">'Wide Dimming Flyback'!$G$136</definedName>
    <definedName name="ITOP" localSheetId="2">'Wide Dimming Buckboost'!$K$118</definedName>
    <definedName name="ITOP" localSheetId="4">'Wide I&amp;O Buckboost'!#REF!</definedName>
    <definedName name="ITOP" localSheetId="3">'Wide I&amp;O Flyback'!#REF!</definedName>
    <definedName name="ITOP">'Wide Dimming Flyback'!$K$119</definedName>
    <definedName name="Ivs.bnk" localSheetId="2">'Wide Dimming Buckboost'!$K$106</definedName>
    <definedName name="Ivs.bnk" localSheetId="4">'Wide I&amp;O Buckboost'!$K$101</definedName>
    <definedName name="Ivs.bnk" localSheetId="3">'Wide I&amp;O Flyback'!$K$119</definedName>
    <definedName name="Ivs.bnk">'Wide Dimming Flyback'!$K$107</definedName>
    <definedName name="KEAI" localSheetId="2">'Wide Dimming Buckboost'!$G$122</definedName>
    <definedName name="KEAI" localSheetId="4">'Wide I&amp;O Buckboost'!$G$117</definedName>
    <definedName name="KEAI" localSheetId="3">'Wide I&amp;O Flyback'!$G$134</definedName>
    <definedName name="KEAI">'Wide Dimming Flyback'!$G$122</definedName>
    <definedName name="Kicc.hold" localSheetId="2">'Wide Dimming Buckboost'!$K$114</definedName>
    <definedName name="Kicc.hold" localSheetId="4">'Wide I&amp;O Buckboost'!$K$109</definedName>
    <definedName name="Kicc.hold" localSheetId="3">'Wide I&amp;O Flyback'!$K$127</definedName>
    <definedName name="Kicc.hold">'Wide Dimming Flyback'!$K$115</definedName>
    <definedName name="Line_freq" localSheetId="2">'Wide Dimming Buckboost'!$C$30</definedName>
    <definedName name="Line_freq" localSheetId="4">'Wide I&amp;O Buckboost'!$C$30</definedName>
    <definedName name="Line_freq" localSheetId="3">'Wide I&amp;O Flyback'!$C$30</definedName>
    <definedName name="Line_freq">'Wide Dimming Flyback'!$C$30</definedName>
    <definedName name="Llk" localSheetId="3">'Wide I&amp;O Flyback'!$G$143</definedName>
    <definedName name="Llk">'Wide Dimming Flyback'!$G$131</definedName>
    <definedName name="Lm" localSheetId="2">'Wide Dimming Buckboost'!$G$105</definedName>
    <definedName name="Lm" localSheetId="4">'Wide I&amp;O Buckboost'!$G$100</definedName>
    <definedName name="Lm" localSheetId="3">'Wide I&amp;O Flyback'!$G$117</definedName>
    <definedName name="Lm">'Wide Dimming Flyback'!$G$105</definedName>
    <definedName name="Max._Duty" localSheetId="2">'Wide Dimming Buckboost'!$G$27</definedName>
    <definedName name="Max._Duty" localSheetId="4">'Wide I&amp;O Buckboost'!$G$27</definedName>
    <definedName name="Max._Duty" localSheetId="3">'Wide I&amp;O Flyback'!$G$27</definedName>
    <definedName name="Max._Duty">'Wide Dimming Flyback'!$G$27</definedName>
    <definedName name="Max_PA" localSheetId="2">'Wide Dimming Buckboost'!$C$37</definedName>
    <definedName name="Max_PA" localSheetId="4">'Wide I&amp;O Buckboost'!$C$37</definedName>
    <definedName name="Max_PA" localSheetId="3">'Wide I&amp;O Flyback'!$C$37</definedName>
    <definedName name="Max_PA">'Wide Dimming Flyback'!$C$37</definedName>
    <definedName name="Max_Ton" localSheetId="2">'Wide Dimming Buckboost'!$G$107</definedName>
    <definedName name="Max_Ton" localSheetId="4">'Wide I&amp;O Buckboost'!$G$102</definedName>
    <definedName name="Max_Ton" localSheetId="3">'Wide I&amp;O Flyback'!$G$119</definedName>
    <definedName name="Max_Ton">'Wide Dimming Flyback'!$G$107</definedName>
    <definedName name="Max_VCS" localSheetId="3">'Wide I&amp;O Flyback'!$K$27</definedName>
    <definedName name="Max_VCS">'Wide Dimming Flyback'!$K$27</definedName>
    <definedName name="Max_Vin" localSheetId="2">'Wide Dimming Buckboost'!$C$29</definedName>
    <definedName name="Max_Vin" localSheetId="4">'Wide I&amp;O Buckboost'!$C$29</definedName>
    <definedName name="Max_Vin" localSheetId="3">'Wide I&amp;O Flyback'!$C$29</definedName>
    <definedName name="Max_Vin">'Wide Dimming Flyback'!$C$29</definedName>
    <definedName name="Max_Vout" localSheetId="2">'Wide Dimming Buckboost'!$C$33</definedName>
    <definedName name="Max_Vout" localSheetId="4">'Wide I&amp;O Buckboost'!$C$33</definedName>
    <definedName name="Max_Vout" localSheetId="3">'Wide I&amp;O Flyback'!$C$33</definedName>
    <definedName name="Max_Vout">'Wide Dimming Flyback'!$C$33</definedName>
    <definedName name="Mean_Vin" localSheetId="2">'Wide Dimming Buckboost'!$C$104</definedName>
    <definedName name="Mean_Vin" localSheetId="4">'Wide I&amp;O Buckboost'!$C$99</definedName>
    <definedName name="Mean_Vin" localSheetId="3">'Wide I&amp;O Flyback'!$C$116</definedName>
    <definedName name="Mean_Vin">'Wide Dimming Flyback'!$C$104</definedName>
    <definedName name="Min_Vin" localSheetId="2">'Wide Dimming Buckboost'!$C$27</definedName>
    <definedName name="Min_Vin" localSheetId="4">'Wide I&amp;O Buckboost'!$C$27</definedName>
    <definedName name="Min_Vin" localSheetId="3">'Wide I&amp;O Flyback'!$C$27</definedName>
    <definedName name="Min_Vin">'Wide Dimming Flyback'!$C$27</definedName>
    <definedName name="Min_Vout" localSheetId="2">'Wide Dimming Buckboost'!$C$31</definedName>
    <definedName name="Min_Vout" localSheetId="4">'Wide I&amp;O Buckboost'!$C$31</definedName>
    <definedName name="Min_Vout" localSheetId="3">'Wide I&amp;O Flyback'!$C$31</definedName>
    <definedName name="Min_Vout">'Wide Dimming Flyback'!$C$31</definedName>
    <definedName name="Na" localSheetId="2">'Wide Dimming Buckboost'!$G$36</definedName>
    <definedName name="Na" localSheetId="4">'Wide I&amp;O Buckboost'!$G$36</definedName>
    <definedName name="Na" localSheetId="3">'Wide I&amp;O Flyback'!$G$38</definedName>
    <definedName name="Na">'Wide Dimming Flyback'!$G$38</definedName>
    <definedName name="Nap" localSheetId="2">'Wide Dimming Buckboost'!$G$125</definedName>
    <definedName name="Nap" localSheetId="4">'Wide I&amp;O Buckboost'!$G$120</definedName>
    <definedName name="Nap" localSheetId="3">'Wide I&amp;O Flyback'!$G$141</definedName>
    <definedName name="Nap">'Wide Dimming Flyback'!$G$129</definedName>
    <definedName name="Nap_i" localSheetId="2">'Wide Dimming Buckboost'!$G$124</definedName>
    <definedName name="Nap_i" localSheetId="4">'Wide I&amp;O Buckboost'!$G$119</definedName>
    <definedName name="Nap_i" localSheetId="3">'Wide I&amp;O Flyback'!$G$140</definedName>
    <definedName name="Nap_i">'Wide Dimming Flyback'!$G$128</definedName>
    <definedName name="Nas" localSheetId="3">'Wide I&amp;O Flyback'!$G$139</definedName>
    <definedName name="Nas">'Wide Dimming Flyback'!$G$127</definedName>
    <definedName name="Nas_i" localSheetId="3">'Wide I&amp;O Flyback'!$G$138</definedName>
    <definedName name="Nas_i">'Wide Dimming Flyback'!$G$126</definedName>
    <definedName name="Np" localSheetId="2">'Wide Dimming Buckboost'!$G$34</definedName>
    <definedName name="Np" localSheetId="4">'Wide I&amp;O Buckboost'!$G$34</definedName>
    <definedName name="Np" localSheetId="3">'Wide I&amp;O Flyback'!$G$34</definedName>
    <definedName name="Np">'Wide Dimming Flyback'!$G$34</definedName>
    <definedName name="Nps" localSheetId="3">'Wide I&amp;O Flyback'!$G$137</definedName>
    <definedName name="Nps">'Wide Dimming Flyback'!$G$125</definedName>
    <definedName name="Nps_i" localSheetId="3">'Wide I&amp;O Flyback'!$G$136</definedName>
    <definedName name="Nps_i">'Wide Dimming Flyback'!$G$124</definedName>
    <definedName name="Ns" localSheetId="3">'Wide I&amp;O Flyback'!$G$36</definedName>
    <definedName name="Ns">'Wide Dimming Flyback'!$G$36</definedName>
    <definedName name="Pd_RBIVC1" localSheetId="2">'Wide Dimming Buckboost'!#REF!</definedName>
    <definedName name="Pd_RBIVC1" localSheetId="4">'Wide I&amp;O Buckboost'!#REF!</definedName>
    <definedName name="Pd_RBIVC1" localSheetId="3">'Wide I&amp;O Flyback'!#REF!</definedName>
    <definedName name="Pd_RBIVC1">'Wide Dimming Flyback'!#REF!</definedName>
    <definedName name="Pd_Rvin1" localSheetId="2">'Wide Dimming Buckboost'!#REF!</definedName>
    <definedName name="Pd_Rvin1" localSheetId="4">'Wide I&amp;O Buckboost'!#REF!</definedName>
    <definedName name="Pd_Rvin1" localSheetId="3">'Wide I&amp;O Flyback'!#REF!</definedName>
    <definedName name="Pd_Rvin1">'Wide Dimming Flyback'!#REF!</definedName>
    <definedName name="peak_Vin" localSheetId="2">'Wide Dimming Buckboost'!$C$102</definedName>
    <definedName name="peak_Vin" localSheetId="4">'Wide I&amp;O Buckboost'!$C$97</definedName>
    <definedName name="peak_Vin" localSheetId="3">'Wide I&amp;O Flyback'!$C$114</definedName>
    <definedName name="peak_Vin">'Wide Dimming Flyback'!$C$102</definedName>
    <definedName name="peak_Vin_max" localSheetId="2">'Wide Dimming Buckboost'!$C$103</definedName>
    <definedName name="peak_Vin_max" localSheetId="4">'Wide I&amp;O Buckboost'!$C$98</definedName>
    <definedName name="peak_Vin_max" localSheetId="3">'Wide I&amp;O Flyback'!$C$115</definedName>
    <definedName name="peak_Vin_max">'Wide Dimming Flyback'!$C$103</definedName>
    <definedName name="peak_Vin_min" localSheetId="2">'Wide Dimming Buckboost'!$C$101</definedName>
    <definedName name="peak_Vin_min" localSheetId="4">'Wide I&amp;O Buckboost'!$C$96</definedName>
    <definedName name="peak_Vin_min" localSheetId="3">'Wide I&amp;O Flyback'!$C$113</definedName>
    <definedName name="peak_Vin_min">'Wide Dimming Flyback'!$C$101</definedName>
    <definedName name="PeakVIN" localSheetId="2">'Wide Dimming Buckboost'!$O$102</definedName>
    <definedName name="PeakVIN" localSheetId="4">'Wide I&amp;O Buckboost'!$O$97</definedName>
    <definedName name="PeakVIN" localSheetId="3">'Wide I&amp;O Flyback'!$O$114</definedName>
    <definedName name="PeakVIN">'Wide Dimming Flyback'!$O$102</definedName>
    <definedName name="Pin" localSheetId="2">'Wide Dimming Buckboost'!$C$108</definedName>
    <definedName name="Pin" localSheetId="4">'Wide I&amp;O Buckboost'!$C$103</definedName>
    <definedName name="Pin" localSheetId="3">'Wide I&amp;O Flyback'!$C$120</definedName>
    <definedName name="Pin">'Wide Dimming Flyback'!$C$108</definedName>
    <definedName name="Pout" localSheetId="2">'Wide Dimming Buckboost'!$C$35</definedName>
    <definedName name="Pout" localSheetId="4">'Wide I&amp;O Buckboost'!$C$35</definedName>
    <definedName name="Pout" localSheetId="3">'Wide I&amp;O Flyback'!$C$35</definedName>
    <definedName name="Pout">'Wide Dimming Flyback'!$C$35</definedName>
    <definedName name="Pout.min">'Wide I&amp;O Flyback'!#REF!</definedName>
    <definedName name="Q_Ctotal" localSheetId="2">'Wide Dimming Buckboost'!$O$118</definedName>
    <definedName name="Q_Ctotal" localSheetId="4">'Wide I&amp;O Buckboost'!$O$111</definedName>
    <definedName name="Q_Ctotal" localSheetId="3">'Wide I&amp;O Flyback'!$O$128</definedName>
    <definedName name="Q_Ctotal">'Wide Dimming Flyback'!$O$118</definedName>
    <definedName name="Q_fly" localSheetId="2">'Wide Dimming Buckboost'!$O$119</definedName>
    <definedName name="Q_fly" localSheetId="4">'Wide I&amp;O Buckboost'!$O$112</definedName>
    <definedName name="Q_fly" localSheetId="3">'Wide I&amp;O Flyback'!$O$129</definedName>
    <definedName name="Q_fly">'Wide Dimming Flyback'!$O$119</definedName>
    <definedName name="R.DP2" localSheetId="3">'Wide I&amp;O Flyback'!$S$114</definedName>
    <definedName name="R.DP2">'Wide Dimming Flyback'!$S$102</definedName>
    <definedName name="Rated_Iout" localSheetId="2">'Wide Dimming Buckboost'!$C$106</definedName>
    <definedName name="Rated_Iout" localSheetId="4">'Wide I&amp;O Buckboost'!$C$101</definedName>
    <definedName name="Rated_Iout" localSheetId="3">'Wide I&amp;O Flyback'!$C$118</definedName>
    <definedName name="Rated_Iout">'Wide Dimming Flyback'!$C$106</definedName>
    <definedName name="Rated_Vin" localSheetId="2">'Wide Dimming Buckboost'!$C$28</definedName>
    <definedName name="Rated_Vin" localSheetId="4">'Wide I&amp;O Buckboost'!$C$28</definedName>
    <definedName name="Rated_Vin" localSheetId="3">'Wide I&amp;O Flyback'!$C$28</definedName>
    <definedName name="Rated_Vin">'Wide Dimming Flyback'!$C$28</definedName>
    <definedName name="Rated_Vout" localSheetId="2">'Wide Dimming Buckboost'!$C$32</definedName>
    <definedName name="Rated_Vout" localSheetId="4">'Wide I&amp;O Buckboost'!$C$32</definedName>
    <definedName name="Rated_Vout" localSheetId="3">'Wide I&amp;O Flyback'!$C$32</definedName>
    <definedName name="Rated_Vout">'Wide Dimming Flyback'!$C$32</definedName>
    <definedName name="Rcomp" localSheetId="2">'Wide Dimming Buckboost'!$K$30</definedName>
    <definedName name="Rcomp" localSheetId="4">'Wide I&amp;O Buckboost'!$K$30</definedName>
    <definedName name="Rcomp" localSheetId="3">'Wide I&amp;O Flyback'!$K$31</definedName>
    <definedName name="Rcomp">'Wide Dimming Flyback'!$K$31</definedName>
    <definedName name="Rcomp.int" localSheetId="2">'Wide Dimming Buckboost'!$K$101</definedName>
    <definedName name="Rcomp.int" localSheetId="4">'Wide I&amp;O Buckboost'!$K$96</definedName>
    <definedName name="Rcomp.int" localSheetId="3">'Wide I&amp;O Flyback'!$K$114</definedName>
    <definedName name="Rcomp.int">'Wide Dimming Flyback'!$K$102</definedName>
    <definedName name="Rcomp.total" localSheetId="2">'Wide Dimming Buckboost'!$K$103</definedName>
    <definedName name="Rcomp.total" localSheetId="4">'Wide I&amp;O Buckboost'!$K$98</definedName>
    <definedName name="Rcomp.total" localSheetId="3">'Wide I&amp;O Flyback'!$K$116</definedName>
    <definedName name="Rcomp.total">'Wide Dimming Flyback'!$K$104</definedName>
    <definedName name="RCS" localSheetId="2">'Wide Dimming Buckboost'!$K$28</definedName>
    <definedName name="RCS" localSheetId="4">'Wide I&amp;O Buckboost'!$K$28</definedName>
    <definedName name="RCS" localSheetId="3">'Wide I&amp;O Flyback'!$K$29</definedName>
    <definedName name="RCS">'Wide Dimming Flyback'!$K$29</definedName>
    <definedName name="RCS_i" localSheetId="3">'Wide I&amp;O Flyback'!$K$113</definedName>
    <definedName name="RCS_i">'Wide Dimming Flyback'!$K$101</definedName>
    <definedName name="Rdim.total" localSheetId="2">'Wide Dimming Buckboost'!$K$151</definedName>
    <definedName name="Rdim.total" localSheetId="4">'Wide I&amp;O Buckboost'!$K$123</definedName>
    <definedName name="Rdim.total" localSheetId="3">'Wide I&amp;O Flyback'!$K$141</definedName>
    <definedName name="Rdim.total">'Wide Dimming Flyback'!$K$152</definedName>
    <definedName name="Rdim1" localSheetId="2">'Wide Dimming Buckboost'!$K$153</definedName>
    <definedName name="Rdim1" localSheetId="4">'Wide I&amp;O Buckboost'!$K$125</definedName>
    <definedName name="Rdim1" localSheetId="3">'Wide I&amp;O Flyback'!$K$143</definedName>
    <definedName name="Rdim1">'Wide Dimming Flyback'!$K$154</definedName>
    <definedName name="Rdim2" localSheetId="2">'Wide Dimming Buckboost'!$K$154</definedName>
    <definedName name="Rdim2" localSheetId="4">'Wide I&amp;O Buckboost'!$K$126</definedName>
    <definedName name="Rdim2" localSheetId="3">'Wide I&amp;O Flyback'!$K$144</definedName>
    <definedName name="Rdim2">'Wide Dimming Flyback'!$K$155</definedName>
    <definedName name="Rfly" localSheetId="2">'Wide Dimming Buckboost'!$O$109</definedName>
    <definedName name="Rfly" localSheetId="4">'Wide I&amp;O Buckboost'!#REF!</definedName>
    <definedName name="Rfly" localSheetId="3">'Wide I&amp;O Flyback'!#REF!</definedName>
    <definedName name="Rfly">'Wide Dimming Flyback'!$O$109</definedName>
    <definedName name="RHOLD" localSheetId="2">'Wide Dimming Buckboost'!$K$115</definedName>
    <definedName name="RHOLD" localSheetId="4">'Wide I&amp;O Buckboost'!$K$110</definedName>
    <definedName name="RHOLD" localSheetId="3">'Wide I&amp;O Flyback'!$K$128</definedName>
    <definedName name="RHOLD">'Wide Dimming Flyback'!$K$116</definedName>
    <definedName name="RICC.total" localSheetId="2">'Wide Dimming Buckboost'!$K$136</definedName>
    <definedName name="RICC.total" localSheetId="4">'Wide I&amp;O Buckboost'!#REF!</definedName>
    <definedName name="RICC.total" localSheetId="3">'Wide I&amp;O Flyback'!#REF!</definedName>
    <definedName name="RICC.total">'Wide Dimming Flyback'!$K$137</definedName>
    <definedName name="RICC1" localSheetId="2">'Wide Dimming Buckboost'!$K$138</definedName>
    <definedName name="RICC1" localSheetId="4">'Wide I&amp;O Buckboost'!#REF!</definedName>
    <definedName name="RICC1" localSheetId="3">'Wide I&amp;O Flyback'!#REF!</definedName>
    <definedName name="RICC1">'Wide Dimming Flyback'!$K$139</definedName>
    <definedName name="RICC2" localSheetId="2">'Wide Dimming Buckboost'!$K$137</definedName>
    <definedName name="RICC2" localSheetId="4">'Wide I&amp;O Buckboost'!#REF!</definedName>
    <definedName name="RICC2" localSheetId="3">'Wide I&amp;O Flyback'!#REF!</definedName>
    <definedName name="RICC2">'Wide Dimming Flyback'!$K$138</definedName>
    <definedName name="RRBLD.F" localSheetId="4">'Wide I&amp;O Buckboost'!$O$35</definedName>
    <definedName name="RRBLD.F" localSheetId="3">'Wide I&amp;O Flyback'!$O$35</definedName>
    <definedName name="RRIVC" localSheetId="2">'Wide Dimming Buckboost'!$O$121</definedName>
    <definedName name="RRIVC" localSheetId="4">'Wide I&amp;O Buckboost'!$O$114</definedName>
    <definedName name="RRIVC" localSheetId="3">'Wide I&amp;O Flyback'!$O$131</definedName>
    <definedName name="RRIVC">'Wide Dimming Flyback'!$O$121</definedName>
    <definedName name="Rsn" localSheetId="3">'Wide I&amp;O Flyback'!$G$144</definedName>
    <definedName name="Rsn">'Wide Dimming Flyback'!$G$132</definedName>
    <definedName name="RTOP" localSheetId="2">'Wide Dimming Buckboost'!$K$121</definedName>
    <definedName name="RTOP" localSheetId="4">'Wide I&amp;O Buckboost'!#REF!</definedName>
    <definedName name="RTOP" localSheetId="3">'Wide I&amp;O Flyback'!#REF!</definedName>
    <definedName name="RTOP">'Wide Dimming Flyback'!$K$122</definedName>
    <definedName name="rvin" localSheetId="2">'Wide Dimming Buckboost'!$O$105</definedName>
    <definedName name="rvin" localSheetId="4">'Wide I&amp;O Buckboost'!$O$100</definedName>
    <definedName name="rvin" localSheetId="3">'Wide I&amp;O Flyback'!$O$117</definedName>
    <definedName name="rvin">'Wide Dimming Flyback'!$O$105</definedName>
    <definedName name="Rvin1" localSheetId="2">'Wide Dimming Buckboost'!$O$103</definedName>
    <definedName name="Rvin1" localSheetId="4">'Wide I&amp;O Buckboost'!$O$98</definedName>
    <definedName name="Rvin1" localSheetId="3">'Wide I&amp;O Flyback'!$O$115</definedName>
    <definedName name="Rvin1">'Wide Dimming Flyback'!$O$103</definedName>
    <definedName name="Rvin2" localSheetId="2">'Wide Dimming Buckboost'!$O$104</definedName>
    <definedName name="Rvin2" localSheetId="4">'Wide I&amp;O Buckboost'!$O$99</definedName>
    <definedName name="Rvin2" localSheetId="3">'Wide I&amp;O Flyback'!$O$116</definedName>
    <definedName name="Rvin2">'Wide Dimming Flyback'!$O$104</definedName>
    <definedName name="Rvs1_" localSheetId="2">'Wide Dimming Buckboost'!$K$110</definedName>
    <definedName name="Rvs1_" localSheetId="4">'Wide I&amp;O Buckboost'!$K$105</definedName>
    <definedName name="Rvs1_" localSheetId="3">'Wide I&amp;O Flyback'!$K$123</definedName>
    <definedName name="Rvs1_">'Wide Dimming Flyback'!$K$111</definedName>
    <definedName name="Rvs2_" localSheetId="2">'Wide Dimming Buckboost'!$K$111</definedName>
    <definedName name="Rvs2_" localSheetId="4">'Wide I&amp;O Buckboost'!$K$106</definedName>
    <definedName name="Rvs2_" localSheetId="3">'Wide I&amp;O Flyback'!$K$124</definedName>
    <definedName name="Rvs2_">'Wide Dimming Flyback'!$K$112</definedName>
    <definedName name="Switch_freq" localSheetId="2">'Wide Dimming Buckboost'!$G$101</definedName>
    <definedName name="Switch_freq" localSheetId="4">'Wide I&amp;O Buckboost'!$G$96</definedName>
    <definedName name="Switch_freq" localSheetId="3">'Wide I&amp;O Flyback'!$G$113</definedName>
    <definedName name="Switch_freq">'Wide Dimming Flyback'!$G$101</definedName>
    <definedName name="Switch_freq_D" localSheetId="2">'Wide Dimming Buckboost'!$G$103</definedName>
    <definedName name="Switch_freq_D" localSheetId="4">'Wide I&amp;O Buckboost'!$G$98</definedName>
    <definedName name="Switch_freq_D" localSheetId="3">'Wide I&amp;O Flyback'!$G$115</definedName>
    <definedName name="Switch_freq_D">'Wide Dimming Flyback'!$G$103</definedName>
    <definedName name="T.HLINE" localSheetId="2">'Wide Dimming Buckboost'!$C$105</definedName>
    <definedName name="T.HLINE" localSheetId="4">'Wide I&amp;O Buckboost'!$C$100</definedName>
    <definedName name="T.HLINE" localSheetId="3">'Wide I&amp;O Flyback'!$C$117</definedName>
    <definedName name="T.HLINE">'Wide Dimming Flyback'!$C$105</definedName>
    <definedName name="T.ivc.clamp" localSheetId="2">'Wide Dimming Buckboost'!$O$116</definedName>
    <definedName name="T.ivc.clamp" localSheetId="4">'Wide I&amp;O Buckboost'!$O$109</definedName>
    <definedName name="T.ivc.clamp" localSheetId="3">'Wide I&amp;O Flyback'!$O$126</definedName>
    <definedName name="T.ivc.clamp">'Wide Dimming Flyback'!$O$116</definedName>
    <definedName name="T.ivc.start" localSheetId="2">'Wide Dimming Buckboost'!$O$113</definedName>
    <definedName name="T.ivc.start" localSheetId="4">'Wide I&amp;O Buckboost'!$O$106</definedName>
    <definedName name="T.ivc.start" localSheetId="3">'Wide I&amp;O Flyback'!$O$123</definedName>
    <definedName name="T.ivc.start">'Wide Dimming Flyback'!$O$113</definedName>
    <definedName name="T.ivc.stop" localSheetId="2">'Wide Dimming Buckboost'!$O$114</definedName>
    <definedName name="T.ivc.stop" localSheetId="4">'Wide I&amp;O Buckboost'!$O$107</definedName>
    <definedName name="T.ivc.stop" localSheetId="3">'Wide I&amp;O Flyback'!$O$124</definedName>
    <definedName name="T.ivc.stop">'Wide Dimming Flyback'!$O$114</definedName>
    <definedName name="Tdis.max" localSheetId="2">'Wide Dimming Buckboost'!$K$112</definedName>
    <definedName name="Tdis.max" localSheetId="4">'Wide I&amp;O Buckboost'!$K$107</definedName>
    <definedName name="Tdis.max" localSheetId="3">'Wide I&amp;O Flyback'!$K$125</definedName>
    <definedName name="Tdis.max">'Wide Dimming Flyback'!$K$113</definedName>
    <definedName name="Ton.min" localSheetId="2">'Wide Dimming Buckboost'!$O$107</definedName>
    <definedName name="Ton.min" localSheetId="4">'Wide I&amp;O Buckboost'!#REF!</definedName>
    <definedName name="Ton.min" localSheetId="3">'Wide I&amp;O Flyback'!#REF!</definedName>
    <definedName name="Ton.min">'Wide Dimming Flyback'!$O$107</definedName>
    <definedName name="Top.maxVin.180PA.wOTC" localSheetId="2">'Wide Dimming Buckboost'!$K$147</definedName>
    <definedName name="Top.maxVin.180PA.wOTC" localSheetId="4">'Wide I&amp;O Buckboost'!#REF!</definedName>
    <definedName name="Tpd" localSheetId="2">'Wide Dimming Buckboost'!$K$102</definedName>
    <definedName name="Tpd" localSheetId="4">'Wide I&amp;O Buckboost'!$K$97</definedName>
    <definedName name="Tpd" localSheetId="3">'Wide I&amp;O Flyback'!$K$115</definedName>
    <definedName name="Tpd">'Wide Dimming Flyback'!$K$103</definedName>
    <definedName name="Ts" localSheetId="2">'Wide Dimming Buckboost'!$G$102</definedName>
    <definedName name="Ts" localSheetId="4">'Wide I&amp;O Buckboost'!$G$97</definedName>
    <definedName name="Ts" localSheetId="3">'Wide I&amp;O Flyback'!$G$114</definedName>
    <definedName name="Ts">'Wide Dimming Flyback'!$G$102</definedName>
    <definedName name="Ts_D" localSheetId="2">'Wide Dimming Buckboost'!$G$104</definedName>
    <definedName name="Ts_D" localSheetId="4">'Wide I&amp;O Buckboost'!$G$99</definedName>
    <definedName name="Ts_D" localSheetId="3">'Wide I&amp;O Flyback'!$G$116</definedName>
    <definedName name="Ts_D">'Wide Dimming Flyback'!$G$104</definedName>
    <definedName name="V.FB.DIG.START" localSheetId="2">'Wide Dimming Buckboost'!$K$162</definedName>
    <definedName name="V.FB.DIG.START" localSheetId="4">'Wide I&amp;O Buckboost'!#REF!</definedName>
    <definedName name="V.FB.DIG.START" localSheetId="3">'Wide I&amp;O Flyback'!#REF!</definedName>
    <definedName name="V.FB.DIG.START">'Wide Dimming Flyback'!$K$163</definedName>
    <definedName name="V.SN.MIN.ND" localSheetId="3">'Wide I&amp;O Flyback'!$S$37</definedName>
    <definedName name="V.SN.MIN.ND">'Wide Dimming Flyback'!$S$37</definedName>
    <definedName name="V.SW.DP.TH" localSheetId="3">'Wide I&amp;O Flyback'!$S$115</definedName>
    <definedName name="V.SW.DP.TH">'Wide Dimming Flyback'!$S$103</definedName>
    <definedName name="V.ZD.DP1" localSheetId="3">'Wide I&amp;O Flyback'!$S$38</definedName>
    <definedName name="V.ZD.DP1">'Wide Dimming Flyback'!$S$38</definedName>
    <definedName name="Vcs.pk.ini" localSheetId="2">'Wide Dimming Buckboost'!$O$128</definedName>
    <definedName name="Vcs.pk.ini" localSheetId="4">'Wide I&amp;O Buckboost'!$O$121</definedName>
    <definedName name="Vcs.pk.ini" localSheetId="3">'Wide I&amp;O Flyback'!$O$138</definedName>
    <definedName name="Vcs.pk.ini">'Wide Dimming Flyback'!$O$128</definedName>
    <definedName name="Vf" localSheetId="2">'Wide Dimming Buckboost'!$K$105</definedName>
    <definedName name="Vf" localSheetId="4">'Wide I&amp;O Buckboost'!$K$100</definedName>
    <definedName name="Vf" localSheetId="3">'Wide I&amp;O Flyback'!$K$118</definedName>
    <definedName name="Vf">'Wide Dimming Flyback'!$K$106</definedName>
    <definedName name="Vf.max.icc" localSheetId="2">'Wide Dimming Buckboost'!$K$128</definedName>
    <definedName name="Vf.max.icc" localSheetId="4">'Wide I&amp;O Buckboost'!$K$117</definedName>
    <definedName name="Vf.max.icc" localSheetId="3">'Wide I&amp;O Flyback'!$K$135</definedName>
    <definedName name="Vf.max.icc">'Wide Dimming Flyback'!$K$129</definedName>
    <definedName name="Vf.min.icc" localSheetId="2">'Wide Dimming Buckboost'!$K$127</definedName>
    <definedName name="Vf.min.icc" localSheetId="4">'Wide I&amp;O Buckboost'!$K$116</definedName>
    <definedName name="Vf.min.icc" localSheetId="3">'Wide I&amp;O Flyback'!$K$134</definedName>
    <definedName name="Vf.min.icc">'Wide Dimming Flyback'!$K$128</definedName>
    <definedName name="VFB.BOUND" localSheetId="2">'Wide Dimming Buckboost'!$K$117</definedName>
    <definedName name="VFB.BOUND" localSheetId="4">'Wide I&amp;O Buckboost'!#REF!</definedName>
    <definedName name="VFB.BOUND" localSheetId="3">'Wide I&amp;O Flyback'!#REF!</definedName>
    <definedName name="VFB.BOUND">'Wide Dimming Flyback'!$K$118</definedName>
    <definedName name="VHOLD" localSheetId="4">'Wide I&amp;O Buckboost'!$K$111</definedName>
    <definedName name="VHOLD">'Wide I&amp;O Flyback'!$K$129</definedName>
    <definedName name="VIN.BNK.D" localSheetId="2">'Wide Dimming Buckboost'!$K$108</definedName>
    <definedName name="VIN.BNK.D" localSheetId="4">'Wide I&amp;O Buckboost'!$K$103</definedName>
    <definedName name="VIN.BNK.D" localSheetId="3">'Wide I&amp;O Flyback'!$K$121</definedName>
    <definedName name="VIN.BNK.D">'Wide Dimming Flyback'!$K$109</definedName>
    <definedName name="VIN.BNK.F" localSheetId="2">'Wide Dimming Buckboost'!$K$109</definedName>
    <definedName name="VIN.BNK.F" localSheetId="4">'Wide I&amp;O Buckboost'!$K$104</definedName>
    <definedName name="VIN.BNK.F" localSheetId="3">'Wide I&amp;O Flyback'!$K$122</definedName>
    <definedName name="VIN.BNK.F">'Wide Dimming Flyback'!$K$110</definedName>
    <definedName name="VIN.BNK.ND" localSheetId="2">'Wide Dimming Buckboost'!$K$107</definedName>
    <definedName name="VIN.BNK.ND" localSheetId="4">'Wide I&amp;O Buckboost'!$K$102</definedName>
    <definedName name="VIN.BNK.ND" localSheetId="3">'Wide I&amp;O Flyback'!$K$120</definedName>
    <definedName name="VIN.BNK.ND">'Wide Dimming Flyback'!$K$108</definedName>
    <definedName name="Vin.ini" localSheetId="2">'Wide Dimming Buckboost'!$O$127</definedName>
    <definedName name="Vin.ini" localSheetId="4">'Wide I&amp;O Buckboost'!$O$120</definedName>
    <definedName name="Vin.ini" localSheetId="3">'Wide I&amp;O Flyback'!$O$137</definedName>
    <definedName name="Vin.ini">'Wide Dimming Flyback'!$O$127</definedName>
    <definedName name="Vin.ivc.clamp" localSheetId="2">'Wide Dimming Buckboost'!$O$115</definedName>
    <definedName name="Vin.ivc.clamp" localSheetId="4">'Wide I&amp;O Buckboost'!$O$108</definedName>
    <definedName name="Vin.ivc.clamp" localSheetId="3">'Wide I&amp;O Flyback'!$O$125</definedName>
    <definedName name="Vin.ivc.clamp">'Wide Dimming Flyback'!$O$115</definedName>
    <definedName name="Vin.ivc.start" localSheetId="2">'Wide Dimming Buckboost'!$O$112</definedName>
    <definedName name="Vin.ivc.start" localSheetId="4">'Wide I&amp;O Buckboost'!$O$105</definedName>
    <definedName name="Vin.ivc.start" localSheetId="3">'Wide I&amp;O Flyback'!$O$122</definedName>
    <definedName name="Vin.ivc.start">'Wide Dimming Flyback'!$O$112</definedName>
    <definedName name="Vin_ivc_pk" localSheetId="2">'Wide Dimming Buckboost'!$O$110</definedName>
    <definedName name="Vin_ivc_pk" localSheetId="4">'Wide I&amp;O Buckboost'!$O$103</definedName>
    <definedName name="Vin_ivc_pk" localSheetId="3">'Wide I&amp;O Flyback'!$O$120</definedName>
    <definedName name="Vin_ivc_pk">'Wide Dimming Flyback'!$O$110</definedName>
    <definedName name="VMOD.OPEN.START" localSheetId="2">'Wide Dimming Buckboost'!$K$161</definedName>
    <definedName name="VMOD.OPEN.START" localSheetId="4">'Wide I&amp;O Buckboost'!#REF!</definedName>
    <definedName name="VMOD.OPEN.START" localSheetId="3">'Wide I&amp;O Flyback'!#REF!</definedName>
    <definedName name="VMOD.OPEN.START">'Wide Dimming Flyback'!$K$162</definedName>
    <definedName name="Vref" localSheetId="2">'Wide Dimming Buckboost'!$G$123</definedName>
    <definedName name="Vref" localSheetId="4">'Wide I&amp;O Buckboost'!$G$118</definedName>
    <definedName name="Vref" localSheetId="3">'Wide I&amp;O Flyback'!$G$135</definedName>
    <definedName name="Vref">'Wide Dimming Flyback'!$G$123</definedName>
    <definedName name="Vsn" localSheetId="3">'Wide I&amp;O Flyback'!$G$41</definedName>
    <definedName name="Vsn">'Wide Dimming Flyback'!$G$41</definedName>
    <definedName name="Vsn.r" localSheetId="3">'Wide I&amp;O Flyback'!$G$42</definedName>
    <definedName name="Vsn.r">'Wide Dimming Flyback'!$G$42</definedName>
    <definedName name="Vth.max.icc" localSheetId="2">'Wide Dimming Buckboost'!$K$134</definedName>
    <definedName name="Vth.max.icc" localSheetId="4">'Wide I&amp;O Buckboost'!#REF!</definedName>
    <definedName name="Vth.max.icc" localSheetId="3">'Wide I&amp;O Flyback'!#REF!</definedName>
    <definedName name="Vth.max.icc">'Wide Dimming Flyback'!$K$135</definedName>
    <definedName name="Vth.min.icc" localSheetId="2">'Wide Dimming Buckboost'!$K$133</definedName>
    <definedName name="Vth.min.icc" localSheetId="4">'Wide I&amp;O Buckboost'!#REF!</definedName>
    <definedName name="Vth.min.icc" localSheetId="3">'Wide I&amp;O Flyback'!#REF!</definedName>
    <definedName name="Vth.min.icc">'Wide Dimming Flyback'!$K$134</definedName>
    <definedName name="VTOP.MAX" localSheetId="2">'Wide Dimming Buckboost'!$K$122</definedName>
    <definedName name="VTOP.MAX" localSheetId="4">'Wide I&amp;O Buckboost'!#REF!</definedName>
    <definedName name="VTOP.MAX" localSheetId="3">'Wide I&amp;O Flyback'!#REF!</definedName>
    <definedName name="VTOP.MAX">'Wide Dimming Flyback'!$K$123</definedName>
    <definedName name="Vvs.ovp" localSheetId="2">'Wide Dimming Buckboost'!$K$104</definedName>
    <definedName name="Vvs.ovp" localSheetId="4">'Wide I&amp;O Buckboost'!$K$99</definedName>
    <definedName name="Vvs.ovp" localSheetId="3">'Wide I&amp;O Flyback'!$K$117</definedName>
    <definedName name="Vvs.ovp">'Wide Dimming Flyback'!$K$105</definedName>
  </definedNames>
  <calcPr calcId="125725" calcOnSave="0"/>
</workbook>
</file>

<file path=xl/calcChain.xml><?xml version="1.0" encoding="utf-8"?>
<calcChain xmlns="http://schemas.openxmlformats.org/spreadsheetml/2006/main">
  <c r="O36" i="8"/>
  <c r="O36" i="7"/>
  <c r="O119" i="8"/>
  <c r="O136" i="7"/>
  <c r="O126" i="2"/>
  <c r="O126" i="1"/>
  <c r="O98" i="8" l="1"/>
  <c r="O115" i="7"/>
  <c r="O103" i="2"/>
  <c r="O103" i="1"/>
  <c r="O106" i="8"/>
  <c r="O102"/>
  <c r="K123"/>
  <c r="O117"/>
  <c r="O39" s="1"/>
  <c r="K115"/>
  <c r="K117" s="1"/>
  <c r="K114"/>
  <c r="K116" s="1"/>
  <c r="G120"/>
  <c r="G119"/>
  <c r="G35" s="1"/>
  <c r="C106"/>
  <c r="G116"/>
  <c r="C101"/>
  <c r="G41" s="1"/>
  <c r="C100"/>
  <c r="C99"/>
  <c r="O103" s="1"/>
  <c r="O105" s="1"/>
  <c r="C98"/>
  <c r="G38" s="1"/>
  <c r="K101"/>
  <c r="C97"/>
  <c r="C96"/>
  <c r="K97"/>
  <c r="G99"/>
  <c r="G96"/>
  <c r="G102" s="1"/>
  <c r="O40"/>
  <c r="K141" i="7"/>
  <c r="G143"/>
  <c r="G141"/>
  <c r="O134"/>
  <c r="O39" s="1"/>
  <c r="G139"/>
  <c r="G138"/>
  <c r="G137"/>
  <c r="K133"/>
  <c r="K135" s="1"/>
  <c r="K132"/>
  <c r="K134" s="1"/>
  <c r="G133"/>
  <c r="O123"/>
  <c r="O119"/>
  <c r="C123"/>
  <c r="S118"/>
  <c r="S35" s="1"/>
  <c r="C118"/>
  <c r="C35" s="1"/>
  <c r="C120" s="1"/>
  <c r="C117"/>
  <c r="K119"/>
  <c r="G116"/>
  <c r="C116"/>
  <c r="O120" s="1"/>
  <c r="C115"/>
  <c r="G47" s="1"/>
  <c r="C114"/>
  <c r="S113"/>
  <c r="S114" s="1"/>
  <c r="S116" s="1"/>
  <c r="S31" s="1"/>
  <c r="G113"/>
  <c r="G114" s="1"/>
  <c r="C113"/>
  <c r="K115"/>
  <c r="O40"/>
  <c r="O107" i="2"/>
  <c r="G124"/>
  <c r="K151"/>
  <c r="K157" s="1"/>
  <c r="K132"/>
  <c r="K134" s="1"/>
  <c r="K131"/>
  <c r="K133" s="1"/>
  <c r="G125"/>
  <c r="O124"/>
  <c r="K126"/>
  <c r="K128" s="1"/>
  <c r="K125"/>
  <c r="K127" s="1"/>
  <c r="K121"/>
  <c r="G121"/>
  <c r="K119"/>
  <c r="K118"/>
  <c r="O113"/>
  <c r="O108"/>
  <c r="C111"/>
  <c r="C106"/>
  <c r="G41" s="1"/>
  <c r="K106"/>
  <c r="C105"/>
  <c r="K120" s="1"/>
  <c r="K39" s="1"/>
  <c r="G104"/>
  <c r="C104"/>
  <c r="O110" s="1"/>
  <c r="C103"/>
  <c r="G38" s="1"/>
  <c r="C102"/>
  <c r="K102"/>
  <c r="G101"/>
  <c r="G107" s="1"/>
  <c r="G29" s="1"/>
  <c r="C101"/>
  <c r="O101" s="1"/>
  <c r="O39"/>
  <c r="O39" i="1"/>
  <c r="O38" i="8" l="1"/>
  <c r="O27" i="2"/>
  <c r="O43" s="1"/>
  <c r="O123"/>
  <c r="O38" i="7"/>
  <c r="O27" i="8"/>
  <c r="O44" s="1"/>
  <c r="O27" i="7"/>
  <c r="O44" s="1"/>
  <c r="O27" i="1"/>
  <c r="O43" s="1"/>
  <c r="C122" i="7"/>
  <c r="C38" s="1"/>
  <c r="O107" i="8"/>
  <c r="K28"/>
  <c r="K110" s="1"/>
  <c r="K111" s="1"/>
  <c r="K124" s="1"/>
  <c r="G119" i="7"/>
  <c r="K125" s="1"/>
  <c r="K120" s="1"/>
  <c r="O116" i="8"/>
  <c r="O111"/>
  <c r="K107"/>
  <c r="K102" s="1"/>
  <c r="G29"/>
  <c r="O133" i="7"/>
  <c r="O113"/>
  <c r="K127" i="8"/>
  <c r="K43" s="1"/>
  <c r="G50" i="7"/>
  <c r="C35" i="8"/>
  <c r="G100" s="1"/>
  <c r="O124" i="7"/>
  <c r="G97" i="8"/>
  <c r="S30" i="7"/>
  <c r="O96" i="8"/>
  <c r="K137" i="7"/>
  <c r="C124"/>
  <c r="G126" s="1"/>
  <c r="C127"/>
  <c r="S117"/>
  <c r="S33" s="1"/>
  <c r="C126"/>
  <c r="C125"/>
  <c r="O122"/>
  <c r="O128" s="1"/>
  <c r="K29"/>
  <c r="G52"/>
  <c r="K145"/>
  <c r="K44" s="1"/>
  <c r="O112" i="2"/>
  <c r="O118" s="1"/>
  <c r="K112"/>
  <c r="K107" s="1"/>
  <c r="K28"/>
  <c r="C35"/>
  <c r="C110" s="1"/>
  <c r="K122"/>
  <c r="O104"/>
  <c r="O28" s="1"/>
  <c r="G102"/>
  <c r="K158"/>
  <c r="K155"/>
  <c r="K49" s="1"/>
  <c r="K162"/>
  <c r="O114"/>
  <c r="S101" i="1"/>
  <c r="S102" s="1"/>
  <c r="S30" s="1"/>
  <c r="S106"/>
  <c r="S35" s="1"/>
  <c r="O127" i="2" l="1"/>
  <c r="K36" i="8"/>
  <c r="G29" i="7"/>
  <c r="G117"/>
  <c r="O99" i="8"/>
  <c r="O116" i="7"/>
  <c r="K103" i="8"/>
  <c r="K104" s="1"/>
  <c r="K105" s="1"/>
  <c r="G32"/>
  <c r="C103"/>
  <c r="G122"/>
  <c r="G40" s="1"/>
  <c r="G103"/>
  <c r="K128" i="7"/>
  <c r="G105" i="2"/>
  <c r="K108" s="1"/>
  <c r="K109" s="1"/>
  <c r="K110" s="1"/>
  <c r="K111" s="1"/>
  <c r="C38"/>
  <c r="K115"/>
  <c r="O105"/>
  <c r="O115" s="1"/>
  <c r="O116" s="1"/>
  <c r="O120" s="1"/>
  <c r="C108"/>
  <c r="K159"/>
  <c r="K160" s="1"/>
  <c r="S104" i="1"/>
  <c r="S31" s="1"/>
  <c r="O128" i="2" l="1"/>
  <c r="O28" i="8"/>
  <c r="O120"/>
  <c r="O121" s="1"/>
  <c r="O28" i="7"/>
  <c r="O137"/>
  <c r="O138" s="1"/>
  <c r="K121"/>
  <c r="K122" s="1"/>
  <c r="K123" s="1"/>
  <c r="C105" i="8"/>
  <c r="C38" s="1"/>
  <c r="K138" i="7"/>
  <c r="K139" s="1"/>
  <c r="K129"/>
  <c r="K142" s="1"/>
  <c r="G32"/>
  <c r="G122"/>
  <c r="G148"/>
  <c r="G49" s="1"/>
  <c r="G127"/>
  <c r="G128" s="1"/>
  <c r="G129" s="1"/>
  <c r="G120"/>
  <c r="O100" i="8"/>
  <c r="O108" s="1"/>
  <c r="O109" s="1"/>
  <c r="O117" i="7"/>
  <c r="O125" s="1"/>
  <c r="O126" s="1"/>
  <c r="O130" s="1"/>
  <c r="G32" i="2"/>
  <c r="K106" i="8"/>
  <c r="K33" s="1"/>
  <c r="K32"/>
  <c r="K98"/>
  <c r="K119"/>
  <c r="K120" s="1"/>
  <c r="K121" s="1"/>
  <c r="C107"/>
  <c r="C110"/>
  <c r="C109"/>
  <c r="C108"/>
  <c r="K37" i="7"/>
  <c r="G127" i="2"/>
  <c r="G40" s="1"/>
  <c r="O109"/>
  <c r="O119" s="1"/>
  <c r="O121" s="1"/>
  <c r="O37" s="1"/>
  <c r="G108"/>
  <c r="K137"/>
  <c r="K138" s="1"/>
  <c r="K44" s="1"/>
  <c r="K36"/>
  <c r="C112"/>
  <c r="G114" s="1"/>
  <c r="K147"/>
  <c r="K148" s="1"/>
  <c r="K145"/>
  <c r="C113"/>
  <c r="C115"/>
  <c r="C114"/>
  <c r="K32"/>
  <c r="K33"/>
  <c r="K103"/>
  <c r="K103" i="1"/>
  <c r="O41" i="2" l="1"/>
  <c r="K30"/>
  <c r="K30" i="8"/>
  <c r="K116" i="7"/>
  <c r="K31" s="1"/>
  <c r="K33"/>
  <c r="K124"/>
  <c r="K34" s="1"/>
  <c r="O113" i="8"/>
  <c r="O114" s="1"/>
  <c r="G124" i="7"/>
  <c r="K113" s="1"/>
  <c r="G136" s="1"/>
  <c r="O131"/>
  <c r="O34" s="1"/>
  <c r="G109" i="8"/>
  <c r="G110" s="1"/>
  <c r="G111" s="1"/>
  <c r="G112" s="1"/>
  <c r="G105"/>
  <c r="G107" s="1"/>
  <c r="K45" i="2"/>
  <c r="K140"/>
  <c r="K146"/>
  <c r="K142"/>
  <c r="K149"/>
  <c r="K152" s="1"/>
  <c r="K154" s="1"/>
  <c r="K48" s="1"/>
  <c r="O34"/>
  <c r="O38" s="1"/>
  <c r="G115"/>
  <c r="G110"/>
  <c r="G112" s="1"/>
  <c r="K139"/>
  <c r="K141"/>
  <c r="O35"/>
  <c r="K133" i="1"/>
  <c r="K132"/>
  <c r="O42" i="8" l="1"/>
  <c r="O34"/>
  <c r="G131" i="7"/>
  <c r="G33" s="1"/>
  <c r="O42"/>
  <c r="G114" i="8"/>
  <c r="K27" s="1"/>
  <c r="K126"/>
  <c r="K144" i="7"/>
  <c r="G35"/>
  <c r="G140"/>
  <c r="G37" s="1"/>
  <c r="K143" i="2"/>
  <c r="K161"/>
  <c r="K153"/>
  <c r="K47" s="1"/>
  <c r="G116"/>
  <c r="G117" s="1"/>
  <c r="G119"/>
  <c r="G131" i="1"/>
  <c r="G48" i="7" l="1"/>
  <c r="K28"/>
  <c r="G144"/>
  <c r="G43" s="1"/>
  <c r="G51"/>
  <c r="G39" i="8"/>
  <c r="G33"/>
  <c r="K42"/>
  <c r="K125"/>
  <c r="K41" s="1"/>
  <c r="K43" i="7"/>
  <c r="K143"/>
  <c r="K42" s="1"/>
  <c r="G39" i="2"/>
  <c r="K27"/>
  <c r="G33"/>
  <c r="G35"/>
  <c r="K152" i="1"/>
  <c r="K158" s="1"/>
  <c r="G129"/>
  <c r="G127"/>
  <c r="G125"/>
  <c r="G126"/>
  <c r="C104"/>
  <c r="O110" s="1"/>
  <c r="S28" i="7" l="1"/>
  <c r="G146"/>
  <c r="G45" s="1"/>
  <c r="G145"/>
  <c r="G44" s="1"/>
  <c r="K122" i="1"/>
  <c r="K135"/>
  <c r="K127"/>
  <c r="K129" s="1"/>
  <c r="K126"/>
  <c r="K128" s="1"/>
  <c r="K134" l="1"/>
  <c r="O124" l="1"/>
  <c r="O113"/>
  <c r="O107"/>
  <c r="O108" l="1"/>
  <c r="K107" l="1"/>
  <c r="G104" l="1"/>
  <c r="C111"/>
  <c r="K119" l="1"/>
  <c r="K120"/>
  <c r="K163" s="1"/>
  <c r="G121"/>
  <c r="C106"/>
  <c r="G52" s="1"/>
  <c r="C105"/>
  <c r="K156"/>
  <c r="K50" s="1"/>
  <c r="C103"/>
  <c r="C102"/>
  <c r="O112" s="1"/>
  <c r="O118" s="1"/>
  <c r="G101"/>
  <c r="G107" s="1"/>
  <c r="C101"/>
  <c r="K121" l="1"/>
  <c r="K40" s="1"/>
  <c r="K159"/>
  <c r="K160" s="1"/>
  <c r="K161" s="1"/>
  <c r="G50"/>
  <c r="G47"/>
  <c r="K29"/>
  <c r="K116" s="1"/>
  <c r="K37" s="1"/>
  <c r="C35"/>
  <c r="O123"/>
  <c r="K123"/>
  <c r="O114"/>
  <c r="O101"/>
  <c r="G102"/>
  <c r="G29"/>
  <c r="C108" l="1"/>
  <c r="C110"/>
  <c r="C38" s="1"/>
  <c r="G105"/>
  <c r="K138"/>
  <c r="O104"/>
  <c r="O28" l="1"/>
  <c r="O127"/>
  <c r="O128" s="1"/>
  <c r="C114"/>
  <c r="K142" s="1"/>
  <c r="C113"/>
  <c r="S105"/>
  <c r="S33" s="1"/>
  <c r="C115"/>
  <c r="K141" s="1"/>
  <c r="K146"/>
  <c r="K147" s="1"/>
  <c r="K148"/>
  <c r="K149" s="1"/>
  <c r="C112"/>
  <c r="G110" s="1"/>
  <c r="K139"/>
  <c r="K45" s="1"/>
  <c r="G108"/>
  <c r="G136"/>
  <c r="G49" s="1"/>
  <c r="G32"/>
  <c r="O109"/>
  <c r="O119" s="1"/>
  <c r="K46"/>
  <c r="K143"/>
  <c r="O105"/>
  <c r="O115" s="1"/>
  <c r="O116" s="1"/>
  <c r="O120" s="1"/>
  <c r="K150" l="1"/>
  <c r="K153" s="1"/>
  <c r="K140"/>
  <c r="K144"/>
  <c r="G112"/>
  <c r="K101" s="1"/>
  <c r="G124" s="1"/>
  <c r="G35" s="1"/>
  <c r="O121"/>
  <c r="O34" s="1"/>
  <c r="O38" s="1"/>
  <c r="K155" l="1"/>
  <c r="K154" s="1"/>
  <c r="K48" s="1"/>
  <c r="K162"/>
  <c r="O35"/>
  <c r="O37"/>
  <c r="G128"/>
  <c r="G37" s="1"/>
  <c r="G114"/>
  <c r="G119" s="1"/>
  <c r="K109"/>
  <c r="K113"/>
  <c r="K108" s="1"/>
  <c r="K49" l="1"/>
  <c r="G132"/>
  <c r="G133" s="1"/>
  <c r="G44" s="1"/>
  <c r="G51"/>
  <c r="G48"/>
  <c r="K28"/>
  <c r="G115"/>
  <c r="G116" s="1"/>
  <c r="G117" s="1"/>
  <c r="K110"/>
  <c r="K111" s="1"/>
  <c r="K104" s="1"/>
  <c r="G33"/>
  <c r="K31" l="1"/>
  <c r="O41" s="1"/>
  <c r="S28"/>
  <c r="G134"/>
  <c r="G45" s="1"/>
  <c r="G43"/>
  <c r="K112"/>
  <c r="K33"/>
  <c r="K34" l="1"/>
</calcChain>
</file>

<file path=xl/comments1.xml><?xml version="1.0" encoding="utf-8"?>
<comments xmlns="http://schemas.openxmlformats.org/spreadsheetml/2006/main">
  <authors>
    <author>desktop</author>
    <author>snoopy</author>
    <author>info</author>
  </authors>
  <commentList>
    <comment ref="F27" authorId="0">
      <text>
        <r>
          <rPr>
            <b/>
            <sz val="9"/>
            <color indexed="81"/>
            <rFont val="Tahoma"/>
            <family val="2"/>
          </rPr>
          <t>Max. Duty is set between 10~30%.</t>
        </r>
      </text>
    </comment>
    <comment ref="J27" authorId="0">
      <text>
        <r>
          <rPr>
            <b/>
            <sz val="9"/>
            <color indexed="81"/>
            <rFont val="Tahoma"/>
            <family val="2"/>
          </rPr>
          <t>Max. VCS should be lower than 1.08 V current-limit. 
Max. VCS should be lower than 1.08 V current-limit. 
Higher Max. VCS increases RCS and nPS.
[Effect of higher nPS]
widens DCM region and reduces BCM region.
NS and NA are reduced. (more margin for window area)
higher snubber loss or higher max. voltage of switching MOSFET
lower max. voltage of output diode</t>
        </r>
      </text>
    </comment>
    <comment ref="N27" authorId="0">
      <text>
        <r>
          <rPr>
            <b/>
            <sz val="9"/>
            <color indexed="81"/>
            <rFont val="Tahoma"/>
            <family val="2"/>
          </rPr>
          <t xml:space="preserve">At high-line, RVIN1 is 2 Mohm.
At low-line, RVIN1 is 620 kohm.
</t>
        </r>
      </text>
    </comment>
    <comment ref="R27" authorId="0">
      <text>
        <r>
          <rPr>
            <b/>
            <sz val="9"/>
            <color indexed="81"/>
            <rFont val="Tahoma"/>
            <family val="2"/>
          </rPr>
          <t>Damper resistor
Increase resistor value until mis-firing at leading edge is disappeared.
Larger damper resistor can help to remove shimmer by stabilizing leading edge moment.
So, user can also increase this value until shimmer is removed if shimmer is shown.</t>
        </r>
      </text>
    </comment>
    <comment ref="F28" authorId="0">
      <text>
        <r>
          <rPr>
            <b/>
            <sz val="9"/>
            <color indexed="81"/>
            <rFont val="Tahoma"/>
            <family val="2"/>
          </rPr>
          <t xml:space="preserve">Switching frequency at non-dimming mode.
This is generally set around 65 kHz.
In general, conduction EMI becomes better as switching freq. is lower.
</t>
        </r>
      </text>
    </comment>
    <comment ref="R28" authorId="0">
      <text>
        <r>
          <rPr>
            <b/>
            <sz val="9"/>
            <color indexed="81"/>
            <rFont val="Tahoma"/>
            <family val="2"/>
          </rPr>
          <t>If I.DP.BIAS is higher than this value, snubber voltage will be lower than desired snubber voltage in snubber design section.</t>
        </r>
        <r>
          <rPr>
            <sz val="9"/>
            <color indexed="81"/>
            <rFont val="Tahoma"/>
            <family val="2"/>
          </rPr>
          <t xml:space="preserve">
</t>
        </r>
      </text>
    </comment>
    <comment ref="F29" authorId="0">
      <text>
        <r>
          <rPr>
            <b/>
            <sz val="9"/>
            <color indexed="81"/>
            <rFont val="Tahoma"/>
            <family val="2"/>
          </rPr>
          <t>Max. Ton should be less than 10 us.</t>
        </r>
      </text>
    </comment>
    <comment ref="N29" authorId="0">
      <text>
        <r>
          <rPr>
            <b/>
            <sz val="9"/>
            <color indexed="81"/>
            <rFont val="Tahoma"/>
            <family val="2"/>
          </rPr>
          <t xml:space="preserve">CVIN filters switching noise into VIN pin.
</t>
        </r>
      </text>
    </comment>
    <comment ref="R29" authorId="0">
      <text>
        <r>
          <rPr>
            <b/>
            <sz val="9"/>
            <color indexed="81"/>
            <rFont val="Tahoma"/>
            <family val="2"/>
          </rPr>
          <t xml:space="preserve">Active damper biasing current is generally 0.3 ~ 1.0 mA.
If I.DP.BIAS is too low, SW.DP gate rising time becomes longer which will increase SW.DP temperature with large switching loss.
</t>
        </r>
      </text>
    </comment>
    <comment ref="J30" authorId="0">
      <text>
        <r>
          <rPr>
            <b/>
            <sz val="9"/>
            <color indexed="81"/>
            <rFont val="Tahoma"/>
            <family val="2"/>
          </rPr>
          <t xml:space="preserve">TGATE.OFF.PD is the time from VCS peak to ISW (Switch current) peak.
ISW should be measured at the node between transformer and MOSFET drain.
</t>
        </r>
      </text>
    </comment>
    <comment ref="B31" authorId="0">
      <text>
        <r>
          <rPr>
            <b/>
            <sz val="9"/>
            <color indexed="81"/>
            <rFont val="Tahoma"/>
            <family val="2"/>
          </rPr>
          <t>In wide dimming design, recommended min. Vout is 90% rated Vout.</t>
        </r>
        <r>
          <rPr>
            <sz val="9"/>
            <color indexed="81"/>
            <rFont val="Tahoma"/>
            <family val="2"/>
          </rPr>
          <t xml:space="preserve">
</t>
        </r>
      </text>
    </comment>
    <comment ref="J31" authorId="0">
      <text>
        <r>
          <rPr>
            <b/>
            <sz val="9"/>
            <color indexed="81"/>
            <rFont val="Tahoma"/>
            <family val="2"/>
          </rPr>
          <t xml:space="preserve">RCOMP compensates CC tolerance by line voltage change.
( Line CC tolerance is caused by TGATE.OFF.PD. )
</t>
        </r>
      </text>
    </comment>
    <comment ref="N31" authorId="0">
      <text>
        <r>
          <rPr>
            <b/>
            <sz val="9"/>
            <color indexed="81"/>
            <rFont val="Tahoma"/>
            <family val="2"/>
          </rPr>
          <t xml:space="preserve">Total EMI filter capacitor behind the bridge diode.
If input voltage range is +/- 10%, 
user can select film capacitor for CIN.TOTAL + CBLEEDER.
If input voltage range is +/- 15%, 
user needs to use around 50% of CIN.TOTAL + CBLEEDER as MLCC. 
(MLCC capacitance drops at higher voltage and 
it will help to handle wider input voltage range.)
</t>
        </r>
      </text>
    </comment>
    <comment ref="J32" authorId="0">
      <text>
        <r>
          <rPr>
            <b/>
            <sz val="9"/>
            <color indexed="81"/>
            <rFont val="Tahoma"/>
            <family val="2"/>
          </rPr>
          <t xml:space="preserve">CFB is typically 1 ~ 2.2 uF. Larger CFB makes slower feedback loop.
</t>
        </r>
      </text>
    </comment>
    <comment ref="N32" authorId="0">
      <text>
        <r>
          <rPr>
            <b/>
            <sz val="9"/>
            <color indexed="81"/>
            <rFont val="Tahoma"/>
            <family val="2"/>
          </rPr>
          <t xml:space="preserve">Total bleeder capacitor
[CBLEEDER selection guidance]
- Check input current at firing with leading edge dimmer
- Increase CBLEEDER until input current drop is higher than TRIAC holding current at the firing moment.
</t>
        </r>
      </text>
    </comment>
    <comment ref="B33" authorId="1">
      <text>
        <r>
          <rPr>
            <b/>
            <sz val="9"/>
            <color indexed="81"/>
            <rFont val="Tahoma"/>
            <family val="2"/>
          </rPr>
          <t>Output over voltage protection level. 
When Vout is higher than this level, proteciton will be triggered.</t>
        </r>
        <r>
          <rPr>
            <sz val="9"/>
            <color indexed="81"/>
            <rFont val="Tahoma"/>
            <family val="2"/>
          </rPr>
          <t xml:space="preserve">
</t>
        </r>
      </text>
    </comment>
    <comment ref="N33" authorId="0">
      <text>
        <r>
          <rPr>
            <b/>
            <sz val="9"/>
            <color indexed="81"/>
            <rFont val="Tahoma"/>
            <family val="2"/>
          </rPr>
          <t xml:space="preserve">[RBLEEDER selection guidance]
- Test condition : Max./Half/Min. phase angle
 Probe both input current and RBLEEDER current.
 Find RBLEEDER value which minimizes input current drop at firing.
</t>
        </r>
      </text>
    </comment>
    <comment ref="R33" authorId="0">
      <text>
        <r>
          <rPr>
            <b/>
            <sz val="9"/>
            <color indexed="81"/>
            <rFont val="Tahoma"/>
            <family val="2"/>
          </rPr>
          <t>Recommended max. active damper current limit</t>
        </r>
        <r>
          <rPr>
            <sz val="9"/>
            <color indexed="81"/>
            <rFont val="Tahoma"/>
            <family val="2"/>
          </rPr>
          <t xml:space="preserve">
</t>
        </r>
      </text>
    </comment>
    <comment ref="F34" authorId="0">
      <text>
        <r>
          <rPr>
            <b/>
            <sz val="9"/>
            <color indexed="81"/>
            <rFont val="Tahoma"/>
            <family val="2"/>
          </rPr>
          <t>Enter NP higher than Min. NP.</t>
        </r>
      </text>
    </comment>
    <comment ref="N34" authorId="0">
      <text>
        <r>
          <rPr>
            <b/>
            <sz val="9"/>
            <color indexed="81"/>
            <rFont val="Tahoma"/>
            <family val="2"/>
          </rPr>
          <t xml:space="preserve">At the min. input voltage and half phase angle condition, 
compare the line voltage and the input voltage behind the bridge diode. 
After referring calculated RRBLD, user needs to adjust RRBLD 
so that the line voltage zero crossing point is close to 
that of the input voltage behind the bridge diode in the condition.
</t>
        </r>
      </text>
    </comment>
    <comment ref="R34" authorId="0">
      <text>
        <r>
          <rPr>
            <b/>
            <sz val="9"/>
            <color indexed="81"/>
            <rFont val="Tahoma"/>
            <family val="2"/>
          </rPr>
          <t xml:space="preserve">If IDP.MAX is too large, current limit resistor (RDP5) should be too small which could occur unstable SWDP turn-on.
If IDP.MAX is too small, RDP5 will be larger which causes larger power loss with lower efficiency.
</t>
        </r>
        <r>
          <rPr>
            <sz val="9"/>
            <color indexed="81"/>
            <rFont val="Tahoma"/>
            <family val="2"/>
          </rPr>
          <t xml:space="preserve">
</t>
        </r>
      </text>
    </comment>
    <comment ref="J35" authorId="0">
      <text>
        <r>
          <rPr>
            <b/>
            <sz val="9"/>
            <color indexed="81"/>
            <rFont val="Tahoma"/>
            <family val="2"/>
          </rPr>
          <t xml:space="preserve">CVS relieves voltage spike at gate-off.
Increase CVS until VS voltage at 1.5 us after gate-off is flat.
</t>
        </r>
      </text>
    </comment>
    <comment ref="R35" authorId="0">
      <text>
        <r>
          <rPr>
            <b/>
            <sz val="9"/>
            <color indexed="81"/>
            <rFont val="Tahoma"/>
            <family val="2"/>
          </rPr>
          <t>Active damper current limit resistor</t>
        </r>
        <r>
          <rPr>
            <sz val="9"/>
            <color indexed="81"/>
            <rFont val="Tahoma"/>
            <family val="2"/>
          </rPr>
          <t xml:space="preserve">
</t>
        </r>
      </text>
    </comment>
    <comment ref="F36" authorId="0">
      <text>
        <r>
          <rPr>
            <b/>
            <sz val="9"/>
            <color indexed="81"/>
            <rFont val="Tahoma"/>
            <family val="2"/>
          </rPr>
          <t>NS &amp; NA (recommended) are dependent on 
Max. VCS (expected) in Feedback Circuit Section.
If NS &amp; NA (recommended) are too many in the allowed window, increase Max. VCS (expected).</t>
        </r>
      </text>
    </comment>
    <comment ref="N36" authorId="0">
      <text>
        <r>
          <rPr>
            <b/>
            <sz val="9"/>
            <color indexed="81"/>
            <rFont val="Tahoma"/>
            <family val="2"/>
          </rPr>
          <t>Max. bleeding current : Bleeding current during startup sequence and phase-cut time.
Select this value lower than Max. IBLD upper limit.
Higher Max. IBLD can have more margin to maintain input current higher than holding current during startup sequence.
Lower Max. IBLD can reduce the SWBLD temperature during startup sequence and AR time.</t>
        </r>
      </text>
    </comment>
    <comment ref="R36" authorId="0">
      <text>
        <r>
          <rPr>
            <b/>
            <sz val="9"/>
            <color indexed="81"/>
            <rFont val="Tahoma"/>
            <family val="2"/>
          </rPr>
          <t xml:space="preserve">Delay capacitor for active damper switch turn-on
C.DP is generally 10 nF. 
Check if input current ringing is almost dampened after leading edge.
If SW.DP is turned on after enough damping, C.DP is appropriate value.
</t>
        </r>
      </text>
    </comment>
    <comment ref="B37" authorId="0">
      <text>
        <r>
          <rPr>
            <b/>
            <sz val="9"/>
            <color indexed="81"/>
            <rFont val="Tahoma"/>
            <family val="2"/>
          </rPr>
          <t>Output current is constantly regulated 
from CC (Constant Current) phase angle to 180º.
CC phase angle is normally 130º.</t>
        </r>
      </text>
    </comment>
    <comment ref="R37" authorId="0">
      <text>
        <r>
          <rPr>
            <b/>
            <sz val="9"/>
            <color indexed="81"/>
            <rFont val="Tahoma"/>
            <family val="2"/>
          </rPr>
          <t>Minimum snubber voltage at ND.MODE.
Enter the snubber voltage at zero crossing voltage.</t>
        </r>
      </text>
    </comment>
    <comment ref="F38" authorId="0">
      <text>
        <r>
          <rPr>
            <b/>
            <sz val="9"/>
            <color indexed="81"/>
            <rFont val="Tahoma"/>
            <family val="2"/>
          </rPr>
          <t>NS &amp; NA (recommended) are dependent on 
Max. VCS (expected) in Feedback Circuit Section.
If NS &amp; NA (recommended) are too many in the allowed window, increase Max. VCS (expected).</t>
        </r>
      </text>
    </comment>
    <comment ref="J38" authorId="0">
      <text>
        <r>
          <rPr>
            <b/>
            <sz val="9"/>
            <color indexed="81"/>
            <rFont val="Tahoma"/>
            <family val="2"/>
          </rPr>
          <t xml:space="preserve">In general, CHOLD is 1 ~ 5 nF.
Large CHOLD has pros and cons.
Pros : can remove LED shimmer if there is.
Cons : input current at firing drops which can cause TRIAC mis-firing with flicker.
How to select CHOLD.
1. Select the worst dimmer which has the highest holding current in user’s dimmer list.
2. Increase CHOLD until input current drop at firing is not lower than TRIAC holding current. 
(The test condition should be max. and min. phase angle, in which input current drop is the lowest.)
</t>
        </r>
      </text>
    </comment>
    <comment ref="R38" authorId="0">
      <text>
        <r>
          <rPr>
            <b/>
            <sz val="9"/>
            <color indexed="81"/>
            <rFont val="Tahoma"/>
            <family val="2"/>
          </rPr>
          <t xml:space="preserve">VZD.DP1 is generally 30 V and should be lower than VSN.MIN.ND.
If SWDP is always turned on at max. phase angle condition,  
increase VZD.DP1. 
If SWDP gate is turned off with efficiency drop at no dimmer condition,
reduce VZD.DP1.
</t>
        </r>
      </text>
    </comment>
    <comment ref="B39" authorId="0">
      <text>
        <r>
          <rPr>
            <b/>
            <sz val="9"/>
            <color indexed="81"/>
            <rFont val="Tahoma"/>
            <family val="2"/>
          </rPr>
          <t>Enter IHOLD (selected) close to IHOLD (recommended).
The FL7734 system will be compatible with dimmers 
which have lower holding current than IHOLD (selected).
In wide dimming design, IHOLD (selected) close to IHOLD (recommended) 
is strongly recommended for system reliability.</t>
        </r>
      </text>
    </comment>
    <comment ref="F39" authorId="0">
      <text>
        <r>
          <rPr>
            <b/>
            <sz val="9"/>
            <color indexed="81"/>
            <rFont val="Tahoma"/>
            <family val="2"/>
          </rPr>
          <t>Enter leakage inductance after measuring transformer designed by the above spec.</t>
        </r>
        <r>
          <rPr>
            <sz val="9"/>
            <color indexed="81"/>
            <rFont val="Tahoma"/>
            <family val="2"/>
          </rPr>
          <t xml:space="preserve">
</t>
        </r>
      </text>
    </comment>
    <comment ref="N39" authorId="0">
      <text>
        <r>
          <rPr>
            <b/>
            <sz val="9"/>
            <color indexed="81"/>
            <rFont val="Tahoma"/>
            <family val="2"/>
          </rPr>
          <t>RVDD1 dampens leading edge spike noise into VDD pin.
100 ohm is recommended at high-line and 50 ohm is recommended at low-line.</t>
        </r>
        <r>
          <rPr>
            <sz val="9"/>
            <color indexed="81"/>
            <rFont val="Tahoma"/>
            <family val="2"/>
          </rPr>
          <t xml:space="preserve">
</t>
        </r>
      </text>
    </comment>
    <comment ref="N40" authorId="0">
      <text>
        <r>
          <rPr>
            <b/>
            <sz val="9"/>
            <color indexed="81"/>
            <rFont val="Tahoma"/>
            <family val="2"/>
          </rPr>
          <t xml:space="preserve">CIN2 is total EMI filter capacitor directly connected to transformer.
</t>
        </r>
      </text>
    </comment>
    <comment ref="F41" authorId="0">
      <text>
        <r>
          <rPr>
            <b/>
            <sz val="9"/>
            <color indexed="81"/>
            <rFont val="Tahoma"/>
            <family val="2"/>
          </rPr>
          <t>Vsn is generally set as 2~2.5 times Nps x Vo.</t>
        </r>
        <r>
          <rPr>
            <sz val="9"/>
            <color indexed="81"/>
            <rFont val="Tahoma"/>
            <family val="2"/>
          </rPr>
          <t xml:space="preserve">
</t>
        </r>
      </text>
    </comment>
    <comment ref="J41" authorId="0">
      <text>
        <r>
          <rPr>
            <b/>
            <sz val="9"/>
            <color indexed="81"/>
            <rFont val="Tahoma"/>
            <family val="2"/>
          </rPr>
          <t xml:space="preserve">Yield and temperature tolerance
RTCIC should be less than +/- 1%.
</t>
        </r>
      </text>
    </comment>
    <comment ref="N41" authorId="0">
      <text>
        <r>
          <rPr>
            <b/>
            <sz val="9"/>
            <color indexed="81"/>
            <rFont val="Tahoma"/>
            <family val="2"/>
          </rPr>
          <t xml:space="preserve">SRSP (sensing resistor short protection) is triggered 
when CS voltage is less than 0.1 V at first and second switching.
When Lm is highly designed, SRSP could be abnormally triggered 
due to low CS peak voltage.
ROFFSET can protect system from abnormally triggered SRSP 
by building voltage offset on RCOMP.
If CS peak is much higher than 0.1 V with small Lm, 
“open” message will appear and user doesn’t need to add ROFFSET.
</t>
        </r>
      </text>
    </comment>
    <comment ref="F42" authorId="2">
      <text>
        <r>
          <rPr>
            <b/>
            <sz val="9"/>
            <color indexed="81"/>
            <rFont val="돋움"/>
            <family val="3"/>
            <charset val="129"/>
          </rPr>
          <t>∆</t>
        </r>
        <r>
          <rPr>
            <b/>
            <sz val="9"/>
            <color indexed="81"/>
            <rFont val="Tahoma"/>
            <family val="2"/>
          </rPr>
          <t>Vsn is generally set around 5% ripple of Vsn.</t>
        </r>
      </text>
    </comment>
    <comment ref="J42" authorId="0">
      <text>
        <r>
          <rPr>
            <b/>
            <sz val="9"/>
            <color indexed="81"/>
            <rFont val="Tahoma"/>
            <family val="2"/>
          </rPr>
          <t xml:space="preserve">Yield and temperature tolerance
CTCIC should be less than +/- 5%.
</t>
        </r>
      </text>
    </comment>
    <comment ref="F43" authorId="0">
      <text>
        <r>
          <rPr>
            <b/>
            <sz val="9"/>
            <color indexed="81"/>
            <rFont val="Tahoma"/>
            <family val="2"/>
          </rPr>
          <t xml:space="preserve">If active damper is not used, select RSN (w/o active damper)
</t>
        </r>
      </text>
    </comment>
    <comment ref="N43" authorId="0">
      <text>
        <r>
          <rPr>
            <b/>
            <sz val="9"/>
            <color indexed="81"/>
            <rFont val="Tahoma"/>
            <family val="2"/>
          </rPr>
          <t xml:space="preserve">At high-line, RBIAS1 is 2 Mohm.
At low-line, RBIAS1 is 620 kohm.
</t>
        </r>
      </text>
    </comment>
    <comment ref="F44" authorId="0">
      <text>
        <r>
          <rPr>
            <b/>
            <sz val="9"/>
            <color indexed="81"/>
            <rFont val="Tahoma"/>
            <family val="2"/>
          </rPr>
          <t xml:space="preserve">If active damper is used, select RSN (w/ active damper)
Because RDP2 path provides biasing current for active damper,
snubber voltage is determined by both RSN and RDP2 path. 
</t>
        </r>
      </text>
    </comment>
    <comment ref="N44" authorId="0">
      <text>
        <r>
          <rPr>
            <b/>
            <sz val="9"/>
            <color indexed="81"/>
            <rFont val="Tahoma"/>
            <family val="2"/>
          </rPr>
          <t xml:space="preserve">RBIAS2 protects BIAS pin from leading edge spike.
At leading edge, SWBLD Crss is quickly charged and the charging current spike could damage BIAS pin due to the over voltage.
RBIAS2 is generally 1kohm. 
When RBIAS2 is too small, the current spike at leading edge will affect the BIAS.
When RBIAS2 is too big, SWBLD current regulation is unstable.
</t>
        </r>
      </text>
    </comment>
    <comment ref="N45" authorId="0">
      <text>
        <r>
          <rPr>
            <b/>
            <sz val="9"/>
            <color indexed="81"/>
            <rFont val="Tahoma"/>
            <family val="2"/>
          </rPr>
          <t>CBIAS is generally 6.8 nF.
CBIAS protects BIAS pin from leading edge spike.</t>
        </r>
      </text>
    </comment>
    <comment ref="J48" authorId="0">
      <text>
        <r>
          <rPr>
            <b/>
            <sz val="9"/>
            <color indexed="81"/>
            <rFont val="Tahoma"/>
            <family val="2"/>
          </rPr>
          <t xml:space="preserve">[Yield and temperature tolerance]
-RDIM1 and RDIM2 tolerance should be less than +/- 1%.
[ RDIM2/(RDIM1+RDIM2) (=rDIM) selection]
*Max. rDIM limit
FB should not be clamped by MOD voltage at max. phase angle. 
(If MOD clamps FB voltage at max. phase angle, 
output current will be higher than the rated output current.)
Therefore, check if FB is clamped by MOD voltage at max. phase angle condition.
-If FB is pulled up by MOD voltage, reduce rDIM. (In order to reduce rDIM, 
increase RDIM1 and decrease RDIM2. Keep RDIM1 + RDIM2 same as design tool.)
*Min. rDIM limit
-If output current oscillation with periodic visible flicker is occurred, increase rDIM.
</t>
        </r>
        <r>
          <rPr>
            <sz val="9"/>
            <color indexed="81"/>
            <rFont val="Tahoma"/>
            <family val="2"/>
          </rPr>
          <t xml:space="preserve">
</t>
        </r>
      </text>
    </comment>
    <comment ref="J49" authorId="0">
      <text>
        <r>
          <rPr>
            <b/>
            <sz val="9"/>
            <color indexed="81"/>
            <rFont val="Tahoma"/>
            <family val="2"/>
          </rPr>
          <t>[Yield and temperature tolerance]
-RDIM1 and RDIM2 tolerance should be less than +/- 1%.
[ RDIM2/(RDIM1+RDIM2) (=rDIM) selection]
*Max. rDIM limit
FB should not be clamped by MOD voltage at max. phase angle. 
(If MOD clamps FB voltage at max. phase angle, 
output current will be higher than the rated output current.)
Therefore, check if FB is clamped by MOD voltage at max. phase angle condition.
-If FB is pulled up by MOD voltage, reduce rDIM. (In order to reduce rDIM, 
increase RDIM1 and decrease RDIM2. Keep RDIM1 + RDIM2 same as design tool.)
*Min. rDIM limit
-If output current oscillation with periodic visible flicker is occurred, increase rDIM.</t>
        </r>
      </text>
    </comment>
    <comment ref="N102" authorId="0">
      <text>
        <r>
          <rPr>
            <b/>
            <sz val="9"/>
            <color indexed="81"/>
            <rFont val="Tahoma"/>
            <family val="2"/>
          </rPr>
          <t>This value is generated by IVC optimization testing.</t>
        </r>
        <r>
          <rPr>
            <sz val="9"/>
            <color indexed="81"/>
            <rFont val="Tahoma"/>
            <family val="2"/>
          </rPr>
          <t xml:space="preserve">
</t>
        </r>
      </text>
    </comment>
    <comment ref="J105" authorId="0">
      <text>
        <r>
          <rPr>
            <b/>
            <sz val="9"/>
            <color indexed="81"/>
            <rFont val="Tahoma"/>
            <family val="2"/>
          </rPr>
          <t xml:space="preserve">VS.OVP = 2.9/3.0/3.1 V </t>
        </r>
        <r>
          <rPr>
            <sz val="9"/>
            <color indexed="81"/>
            <rFont val="Tahoma"/>
            <family val="2"/>
          </rPr>
          <t xml:space="preserve">
</t>
        </r>
      </text>
    </comment>
    <comment ref="J107" authorId="0">
      <text>
        <r>
          <rPr>
            <b/>
            <sz val="9"/>
            <color indexed="81"/>
            <rFont val="Tahoma"/>
            <family val="2"/>
          </rPr>
          <t>Ivs.bnk spec : 67/80/93 uA</t>
        </r>
        <r>
          <rPr>
            <sz val="9"/>
            <color indexed="81"/>
            <rFont val="Tahoma"/>
            <family val="2"/>
          </rPr>
          <t xml:space="preserve">
</t>
        </r>
      </text>
    </comment>
    <comment ref="N110" authorId="0">
      <text>
        <r>
          <rPr>
            <b/>
            <sz val="9"/>
            <color indexed="81"/>
            <rFont val="Tahoma"/>
            <family val="2"/>
          </rPr>
          <t>Target peak Vin for IVC optimization.</t>
        </r>
        <r>
          <rPr>
            <sz val="9"/>
            <color indexed="81"/>
            <rFont val="Tahoma"/>
            <family val="2"/>
          </rPr>
          <t xml:space="preserve">
</t>
        </r>
      </text>
    </comment>
    <comment ref="N111" authorId="0">
      <text>
        <r>
          <rPr>
            <b/>
            <sz val="9"/>
            <color indexed="81"/>
            <rFont val="Tahoma"/>
            <family val="2"/>
          </rPr>
          <t>Angle to start IVC shaping
0 ~ 90 degree
0 degree means that IVC start from peak.</t>
        </r>
        <r>
          <rPr>
            <sz val="9"/>
            <color indexed="81"/>
            <rFont val="Tahoma"/>
            <family val="2"/>
          </rPr>
          <t xml:space="preserve">
</t>
        </r>
      </text>
    </comment>
    <comment ref="F112" authorId="0">
      <text>
        <r>
          <rPr>
            <b/>
            <sz val="9"/>
            <color indexed="81"/>
            <rFont val="Tahoma"/>
            <family val="2"/>
          </rPr>
          <t>(Ipk.ND.DCM vs Ipk.D.DCM)
Ipk at dim &gt; Ipk at non-dim when Ihold is high.
Ipk at dim &lt; Ipk at non-dim when Ihold is low.</t>
        </r>
      </text>
    </comment>
    <comment ref="N113" authorId="0">
      <text>
        <r>
          <rPr>
            <b/>
            <sz val="9"/>
            <color indexed="81"/>
            <rFont val="Tahoma"/>
            <family val="2"/>
          </rPr>
          <t>Time to start IVC shaping</t>
        </r>
        <r>
          <rPr>
            <sz val="9"/>
            <color indexed="81"/>
            <rFont val="Tahoma"/>
            <family val="2"/>
          </rPr>
          <t xml:space="preserve">
</t>
        </r>
      </text>
    </comment>
    <comment ref="N114" authorId="0">
      <text>
        <r>
          <rPr>
            <b/>
            <sz val="9"/>
            <color indexed="81"/>
            <rFont val="Tahoma"/>
            <family val="2"/>
          </rPr>
          <t>Time to stop IVC shaping</t>
        </r>
        <r>
          <rPr>
            <sz val="9"/>
            <color indexed="81"/>
            <rFont val="Tahoma"/>
            <family val="2"/>
          </rPr>
          <t xml:space="preserve">
</t>
        </r>
      </text>
    </comment>
    <comment ref="N116" authorId="0">
      <text>
        <r>
          <rPr>
            <b/>
            <sz val="9"/>
            <color indexed="81"/>
            <rFont val="Tahoma"/>
            <family val="2"/>
          </rPr>
          <t>Time to start 0.5V RIVC clamping</t>
        </r>
        <r>
          <rPr>
            <sz val="9"/>
            <color indexed="81"/>
            <rFont val="Tahoma"/>
            <family val="2"/>
          </rPr>
          <t xml:space="preserve">
</t>
        </r>
      </text>
    </comment>
    <comment ref="J118" authorId="0">
      <text>
        <r>
          <rPr>
            <b/>
            <sz val="9"/>
            <color indexed="81"/>
            <rFont val="Tahoma"/>
            <family val="2"/>
          </rPr>
          <t>VFB.BOUND is generally 3 V.
VFB over VFB.BOUND will be ICC regulation.
VFB under VFB.BOUND will be OTC regulation.</t>
        </r>
        <r>
          <rPr>
            <sz val="9"/>
            <color indexed="81"/>
            <rFont val="Tahoma"/>
            <family val="2"/>
          </rPr>
          <t xml:space="preserve">
</t>
        </r>
      </text>
    </comment>
    <comment ref="N123" authorId="0">
      <text>
        <r>
          <rPr>
            <b/>
            <sz val="9"/>
            <color indexed="81"/>
            <rFont val="Tahoma"/>
            <family val="2"/>
          </rPr>
          <t>Cbleeder and Cin.total discharge current near line voltage zero crossing.
Those input capacitors are charged and discharged 
as the voltage across those capacitors are increased and decreased.
The max. discharging current is calculated to set Max. IVC current.</t>
        </r>
        <r>
          <rPr>
            <sz val="9"/>
            <color indexed="81"/>
            <rFont val="Tahoma"/>
            <family val="2"/>
          </rPr>
          <t xml:space="preserve">
</t>
        </r>
      </text>
    </comment>
    <comment ref="J125" authorId="0">
      <text>
        <r>
          <rPr>
            <b/>
            <sz val="9"/>
            <color indexed="81"/>
            <rFont val="Tahoma"/>
            <family val="2"/>
          </rPr>
          <t>Measured at room temp.
0.4V at both conditions
- Ricc1[20k], Ricc2[40k]
- Ricc1[5k], Ricc2[10k]
- room temp.</t>
        </r>
        <r>
          <rPr>
            <sz val="9"/>
            <color indexed="81"/>
            <rFont val="Tahoma"/>
            <family val="2"/>
          </rPr>
          <t xml:space="preserve">
</t>
        </r>
      </text>
    </comment>
    <comment ref="J126" authorId="0">
      <text>
        <r>
          <rPr>
            <b/>
            <sz val="9"/>
            <color indexed="81"/>
            <rFont val="Tahoma"/>
            <family val="2"/>
          </rPr>
          <t>Vf min.max. tolerance is +/-7.5% according to the datasheet.</t>
        </r>
        <r>
          <rPr>
            <sz val="9"/>
            <color indexed="81"/>
            <rFont val="Tahoma"/>
            <family val="2"/>
          </rPr>
          <t xml:space="preserve">
</t>
        </r>
      </text>
    </comment>
    <comment ref="J127" authorId="0">
      <text>
        <r>
          <rPr>
            <b/>
            <sz val="9"/>
            <color indexed="81"/>
            <rFont val="Tahoma"/>
            <family val="2"/>
          </rPr>
          <t>Vf min.max. tolerance is +/-7.5% according to the datasheet.</t>
        </r>
        <r>
          <rPr>
            <sz val="9"/>
            <color indexed="81"/>
            <rFont val="Tahoma"/>
            <family val="2"/>
          </rPr>
          <t xml:space="preserve">
</t>
        </r>
      </text>
    </comment>
    <comment ref="J128" authorId="0">
      <text>
        <r>
          <rPr>
            <b/>
            <sz val="9"/>
            <color indexed="81"/>
            <rFont val="Tahoma"/>
            <family val="2"/>
          </rPr>
          <t>Vf min.max. tolerance is +/-7.5% according to the datasheet.
Min. Vf at 125C is -40%
Max. Vf at 15C is +5%
according to the datasheet.</t>
        </r>
        <r>
          <rPr>
            <sz val="9"/>
            <color indexed="81"/>
            <rFont val="Tahoma"/>
            <family val="2"/>
          </rPr>
          <t xml:space="preserve">
</t>
        </r>
      </text>
    </comment>
    <comment ref="J129" authorId="0">
      <text>
        <r>
          <rPr>
            <b/>
            <sz val="9"/>
            <color indexed="81"/>
            <rFont val="Tahoma"/>
            <family val="2"/>
          </rPr>
          <t>Vf min.max. tolerance is +/-7.5% according to the datasheet.
Min. Vf at 125C is -40%
Max. Vf at 15C is +5%
according to the datasheet.</t>
        </r>
        <r>
          <rPr>
            <sz val="9"/>
            <color indexed="81"/>
            <rFont val="Tahoma"/>
            <family val="2"/>
          </rPr>
          <t xml:space="preserve">
</t>
        </r>
      </text>
    </comment>
    <comment ref="J131" authorId="0">
      <text>
        <r>
          <rPr>
            <b/>
            <sz val="9"/>
            <color indexed="81"/>
            <rFont val="Tahoma"/>
            <family val="2"/>
          </rPr>
          <t xml:space="preserve">Measured at room temp.
1.4V at both conditions
- Ricc1[20k], Ricc2[40k]
- Ricc1[5k], Ricc2[10k]
- room temp.
</t>
        </r>
        <r>
          <rPr>
            <sz val="9"/>
            <color indexed="81"/>
            <rFont val="Tahoma"/>
            <family val="2"/>
          </rPr>
          <t xml:space="preserve">
</t>
        </r>
      </text>
    </comment>
    <comment ref="J132" authorId="0">
      <text>
        <r>
          <rPr>
            <b/>
            <sz val="9"/>
            <color indexed="81"/>
            <rFont val="Tahoma"/>
            <family val="2"/>
          </rPr>
          <t>Vth min. tolerance is -12% 
Vth max. tolerance is +12% 
according to the datasheet.</t>
        </r>
        <r>
          <rPr>
            <sz val="9"/>
            <color indexed="81"/>
            <rFont val="Tahoma"/>
            <family val="2"/>
          </rPr>
          <t xml:space="preserve">
</t>
        </r>
      </text>
    </comment>
    <comment ref="J133" authorId="0">
      <text>
        <r>
          <rPr>
            <b/>
            <sz val="9"/>
            <color indexed="81"/>
            <rFont val="Tahoma"/>
            <family val="2"/>
          </rPr>
          <t>Vth min. tolerance is -12% 
Vth max. tolerance is +12% 
according to the datasheet.</t>
        </r>
        <r>
          <rPr>
            <sz val="9"/>
            <color indexed="81"/>
            <rFont val="Tahoma"/>
            <family val="2"/>
          </rPr>
          <t xml:space="preserve">
</t>
        </r>
      </text>
    </comment>
    <comment ref="J134" authorId="0">
      <text>
        <r>
          <rPr>
            <b/>
            <sz val="9"/>
            <color indexed="81"/>
            <rFont val="Tahoma"/>
            <family val="2"/>
          </rPr>
          <t>Vth min. tolerance is -12% 
Vth max. tolerance is +12% 
according to the datasheet.
Min. Vth at 125C is -16%
Max. Vth at 15C is +3%
according to the datasheet.</t>
        </r>
        <r>
          <rPr>
            <sz val="9"/>
            <color indexed="81"/>
            <rFont val="Tahoma"/>
            <family val="2"/>
          </rPr>
          <t xml:space="preserve">
</t>
        </r>
      </text>
    </comment>
    <comment ref="J135" authorId="0">
      <text>
        <r>
          <rPr>
            <b/>
            <sz val="9"/>
            <color indexed="81"/>
            <rFont val="Tahoma"/>
            <family val="2"/>
          </rPr>
          <t>Vth min. tolerance is -12% 
Vth max. tolerance is +12% 
according to the datasheet.
Min. Vth at 125C is -16%
Max. Vth at 15C is +3%
according to the datasheet.</t>
        </r>
        <r>
          <rPr>
            <sz val="9"/>
            <color indexed="81"/>
            <rFont val="Tahoma"/>
            <family val="2"/>
          </rPr>
          <t xml:space="preserve">
</t>
        </r>
      </text>
    </comment>
    <comment ref="J140" authorId="0">
      <text>
        <r>
          <rPr>
            <b/>
            <sz val="9"/>
            <color indexed="81"/>
            <rFont val="Tahoma"/>
            <family val="2"/>
          </rPr>
          <t>Max FB voltage at max. PA and mean Vin condition</t>
        </r>
      </text>
    </comment>
    <comment ref="J141" authorId="0">
      <text>
        <r>
          <rPr>
            <b/>
            <sz val="9"/>
            <color indexed="81"/>
            <rFont val="Tahoma"/>
            <family val="2"/>
          </rPr>
          <t>Max FB voltage at 180 PA and mean Vin condition</t>
        </r>
        <r>
          <rPr>
            <sz val="9"/>
            <color indexed="81"/>
            <rFont val="Tahoma"/>
            <family val="2"/>
          </rPr>
          <t xml:space="preserve">
</t>
        </r>
      </text>
    </comment>
    <comment ref="J142" authorId="0">
      <text>
        <r>
          <rPr>
            <b/>
            <sz val="9"/>
            <color indexed="81"/>
            <rFont val="Tahoma"/>
            <family val="2"/>
          </rPr>
          <t>Max. VHOLD when FB is not limited by 4.9 V.</t>
        </r>
        <r>
          <rPr>
            <sz val="9"/>
            <color indexed="81"/>
            <rFont val="Tahoma"/>
            <family val="2"/>
          </rPr>
          <t xml:space="preserve">
</t>
        </r>
      </text>
    </comment>
    <comment ref="J143" authorId="0">
      <text>
        <r>
          <rPr>
            <b/>
            <sz val="9"/>
            <color indexed="81"/>
            <rFont val="Tahoma"/>
            <family val="2"/>
          </rPr>
          <t>Max. VHOLD when FB is 4.9V max condition.</t>
        </r>
        <r>
          <rPr>
            <sz val="9"/>
            <color indexed="81"/>
            <rFont val="Tahoma"/>
            <family val="2"/>
          </rPr>
          <t xml:space="preserve">
</t>
        </r>
      </text>
    </comment>
    <comment ref="J144" authorId="0">
      <text>
        <r>
          <rPr>
            <b/>
            <sz val="9"/>
            <color indexed="81"/>
            <rFont val="Tahoma"/>
            <family val="2"/>
          </rPr>
          <t>Iout drop ratio compared to max. output current
This worst condition is
- 15C room temperature
- IHOLD, Vth and Vf are max.
- max. PA
- mean input voltage
+% is drop. -% is no drop.</t>
        </r>
      </text>
    </comment>
    <comment ref="J146" authorId="0">
      <text>
        <r>
          <rPr>
            <b/>
            <sz val="9"/>
            <color indexed="81"/>
            <rFont val="Tahoma"/>
            <family val="2"/>
          </rPr>
          <t>Input current at 
-max. Vin
-180PA
-assuming that OTC is disabled and ICC without min. VHOLD is enabled.</t>
        </r>
        <r>
          <rPr>
            <sz val="9"/>
            <color indexed="81"/>
            <rFont val="Tahoma"/>
            <family val="2"/>
          </rPr>
          <t xml:space="preserve">
</t>
        </r>
      </text>
    </comment>
    <comment ref="J159" authorId="0">
      <text>
        <r>
          <rPr>
            <b/>
            <sz val="9"/>
            <color indexed="81"/>
            <rFont val="Tahoma"/>
            <family val="2"/>
          </rPr>
          <t>Phase cut time at open loop starting point.</t>
        </r>
        <r>
          <rPr>
            <sz val="9"/>
            <color indexed="81"/>
            <rFont val="Tahoma"/>
            <family val="2"/>
          </rPr>
          <t xml:space="preserve">
</t>
        </r>
      </text>
    </comment>
    <comment ref="J163" authorId="0">
      <text>
        <r>
          <rPr>
            <b/>
            <sz val="9"/>
            <color indexed="81"/>
            <rFont val="Tahoma"/>
            <family val="2"/>
          </rPr>
          <t>VFB which starts entering digital filtering</t>
        </r>
        <r>
          <rPr>
            <sz val="9"/>
            <color indexed="81"/>
            <rFont val="Tahoma"/>
            <family val="2"/>
          </rPr>
          <t xml:space="preserve">
</t>
        </r>
      </text>
    </comment>
  </commentList>
</comments>
</file>

<file path=xl/comments2.xml><?xml version="1.0" encoding="utf-8"?>
<comments xmlns="http://schemas.openxmlformats.org/spreadsheetml/2006/main">
  <authors>
    <author>desktop</author>
    <author>snoopy</author>
  </authors>
  <commentList>
    <comment ref="F27" authorId="0">
      <text>
        <r>
          <rPr>
            <b/>
            <sz val="9"/>
            <color indexed="81"/>
            <rFont val="Tahoma"/>
            <family val="2"/>
          </rPr>
          <t>Max. Duty is set between 10~30%.</t>
        </r>
      </text>
    </comment>
    <comment ref="J27" authorId="0">
      <text>
        <r>
          <rPr>
            <b/>
            <sz val="9"/>
            <color indexed="81"/>
            <rFont val="Tahoma"/>
            <family val="2"/>
          </rPr>
          <t xml:space="preserve">In buckboost design, Max. VCS is not set in Feedback Circuit Section.
[Different from flyback design]
For wider DCM region, reduce Max. Duty in Transformer Section.
For more margin in the window area, reduce Max. Duty in Transformer Section.
Max. voltage of switching MOSFET and output diode is fixed.
</t>
        </r>
      </text>
    </comment>
    <comment ref="N27" authorId="0">
      <text>
        <r>
          <rPr>
            <b/>
            <sz val="9"/>
            <color indexed="81"/>
            <rFont val="Tahoma"/>
            <family val="2"/>
          </rPr>
          <t xml:space="preserve">At high-line, RVIN1 is 2 Mohm.
At low-line, RVIN1 is 620 kohm.
</t>
        </r>
      </text>
    </comment>
    <comment ref="F28" authorId="0">
      <text>
        <r>
          <rPr>
            <b/>
            <sz val="9"/>
            <color indexed="81"/>
            <rFont val="Tahoma"/>
            <family val="2"/>
          </rPr>
          <t>Switching frequency at non-dimming mode.
This is generally set around 65 kHz.
In general, conduction EMI becomes better as switching freq. is lower.</t>
        </r>
      </text>
    </comment>
    <comment ref="F29" authorId="0">
      <text>
        <r>
          <rPr>
            <b/>
            <sz val="9"/>
            <color indexed="81"/>
            <rFont val="Tahoma"/>
            <family val="2"/>
          </rPr>
          <t>Max. Ton should be less than 10 us.</t>
        </r>
        <r>
          <rPr>
            <sz val="9"/>
            <color indexed="81"/>
            <rFont val="Tahoma"/>
            <family val="2"/>
          </rPr>
          <t xml:space="preserve">
</t>
        </r>
      </text>
    </comment>
    <comment ref="J29" authorId="0">
      <text>
        <r>
          <rPr>
            <b/>
            <sz val="9"/>
            <color indexed="81"/>
            <rFont val="Tahoma"/>
            <family val="2"/>
          </rPr>
          <t xml:space="preserve">TGATE.OFF.PD is the time from VCS peak to ISW (Switch current) peak.
ISW should be measured at the node between transformer and MOSFET drain.
</t>
        </r>
      </text>
    </comment>
    <comment ref="N29" authorId="0">
      <text>
        <r>
          <rPr>
            <b/>
            <sz val="9"/>
            <color indexed="81"/>
            <rFont val="Tahoma"/>
            <family val="2"/>
          </rPr>
          <t xml:space="preserve">CVIN filters switching noise into VIN pin.
</t>
        </r>
      </text>
    </comment>
    <comment ref="J30" authorId="0">
      <text>
        <r>
          <rPr>
            <b/>
            <sz val="9"/>
            <color indexed="81"/>
            <rFont val="Tahoma"/>
            <family val="2"/>
          </rPr>
          <t xml:space="preserve">RCOMP compensates CC tolerance by line voltage change.
( Line CC tolerance is caused by TGATE.OFF.PD. )
</t>
        </r>
      </text>
    </comment>
    <comment ref="B31" authorId="0">
      <text>
        <r>
          <rPr>
            <b/>
            <sz val="9"/>
            <color indexed="81"/>
            <rFont val="Tahoma"/>
            <family val="2"/>
          </rPr>
          <t xml:space="preserve">In wide dimming design, recommended min. Vout is 90% rated Vout.
</t>
        </r>
        <r>
          <rPr>
            <sz val="9"/>
            <color indexed="81"/>
            <rFont val="Tahoma"/>
            <family val="2"/>
          </rPr>
          <t xml:space="preserve">
</t>
        </r>
      </text>
    </comment>
    <comment ref="J31" authorId="0">
      <text>
        <r>
          <rPr>
            <b/>
            <sz val="9"/>
            <color indexed="81"/>
            <rFont val="Tahoma"/>
            <family val="2"/>
          </rPr>
          <t xml:space="preserve">CFB is typically 1 ~ 2.2 uF. Larger CFB makes slower feedback loop.
</t>
        </r>
      </text>
    </comment>
    <comment ref="N31" authorId="0">
      <text>
        <r>
          <rPr>
            <b/>
            <sz val="9"/>
            <color indexed="81"/>
            <rFont val="Tahoma"/>
            <family val="2"/>
          </rPr>
          <t>Total EMI filter capacitor behind the bridge diode.
If input voltage range is +/- 10%, 
user can select film capacitor for CIN.TOTAL + CBLEEDER.
If input voltage range is +/- 15%, 
user needs to use around 50% of CIN.TOTAL + CBLEEDER as MLCC. 
(MLCC capacitance drops at higher voltage and 
it will help to handle wider input voltage range.)</t>
        </r>
      </text>
    </comment>
    <comment ref="N32" authorId="0">
      <text>
        <r>
          <rPr>
            <b/>
            <sz val="9"/>
            <color indexed="81"/>
            <rFont val="Tahoma"/>
            <family val="2"/>
          </rPr>
          <t xml:space="preserve">Total bleeder capacitor
[CBLEEDER selection guidance]
- Check input current at firing with leading edge dimmer
- Increase CBLEEDER until input current drop is higher than TRIAC holding current at the firing moment.
</t>
        </r>
      </text>
    </comment>
    <comment ref="B33" authorId="1">
      <text>
        <r>
          <rPr>
            <b/>
            <sz val="9"/>
            <color indexed="81"/>
            <rFont val="Tahoma"/>
            <family val="2"/>
          </rPr>
          <t>Output over voltage protection level. 
When Vout is higher than this level, proteciton will be triggered.</t>
        </r>
        <r>
          <rPr>
            <sz val="9"/>
            <color indexed="81"/>
            <rFont val="Tahoma"/>
            <family val="2"/>
          </rPr>
          <t xml:space="preserve">
</t>
        </r>
      </text>
    </comment>
    <comment ref="N33" authorId="0">
      <text>
        <r>
          <rPr>
            <b/>
            <sz val="9"/>
            <color indexed="81"/>
            <rFont val="Tahoma"/>
            <family val="2"/>
          </rPr>
          <t xml:space="preserve">[RBLEEDER selection guidance]
- Test condition : Max./Half/Min. phase angle
 Probe both input current and RBLEEDER current.
 Find RBLEEDER value which minimizes input current drop at firing.
</t>
        </r>
      </text>
    </comment>
    <comment ref="F34" authorId="0">
      <text>
        <r>
          <rPr>
            <b/>
            <sz val="9"/>
            <color indexed="81"/>
            <rFont val="Tahoma"/>
            <family val="2"/>
          </rPr>
          <t>Enter NP higher than Min. NP.</t>
        </r>
        <r>
          <rPr>
            <sz val="9"/>
            <color indexed="81"/>
            <rFont val="Tahoma"/>
            <family val="2"/>
          </rPr>
          <t xml:space="preserve">
</t>
        </r>
      </text>
    </comment>
    <comment ref="J34" authorId="0">
      <text>
        <r>
          <rPr>
            <b/>
            <sz val="9"/>
            <color indexed="81"/>
            <rFont val="Tahoma"/>
            <family val="2"/>
          </rPr>
          <t xml:space="preserve">CVS relieves voltage spike at gate-off.
Increase CVS until VS voltage at 1.5 us after gate-off is flat.
</t>
        </r>
      </text>
    </comment>
    <comment ref="N34" authorId="0">
      <text>
        <r>
          <rPr>
            <b/>
            <sz val="9"/>
            <color indexed="81"/>
            <rFont val="Tahoma"/>
            <family val="2"/>
          </rPr>
          <t>At the min. input voltage and half phase angle condition, 
compare the line voltage and the input voltage behind the bridge diode. 
After referring calculated RRBLD, user needs to adjust RRBLD 
so that the line voltage zero crossing point is close to 
that of the input voltage behind the bridge diode in the condition.</t>
        </r>
      </text>
    </comment>
    <comment ref="N36" authorId="0">
      <text>
        <r>
          <rPr>
            <b/>
            <sz val="9"/>
            <color indexed="81"/>
            <rFont val="Tahoma"/>
            <family val="2"/>
          </rPr>
          <t>Max. bleeding current : Bleeding current during startup sequence and phase-cut time.
Select this value lower than Max. IBLD upper limit.
Higher Max. IBLD can have more margin to maintain input current higher than holding current during startup sequence.
Lower Max. IBLD can reduce the SWBLD temperature during startup sequence and AR time.</t>
        </r>
      </text>
    </comment>
    <comment ref="B37" authorId="0">
      <text>
        <r>
          <rPr>
            <b/>
            <sz val="9"/>
            <color indexed="81"/>
            <rFont val="Tahoma"/>
            <family val="2"/>
          </rPr>
          <t>Output current is constantly regulated 
from CC (Constant Current) phase angle to 180º.
CC phase angle is normally 130º.</t>
        </r>
      </text>
    </comment>
    <comment ref="J37" authorId="0">
      <text>
        <r>
          <rPr>
            <b/>
            <sz val="9"/>
            <color indexed="81"/>
            <rFont val="Tahoma"/>
            <family val="2"/>
          </rPr>
          <t xml:space="preserve">In general, CHOLD is 1 ~ 5 nF.
Large CHOLD has pros and cons.
Pros : can remove LED shimmer if there is.
Cons : input current at firing drops which can cause TRIAC mis-firing with flicker.
How to select CHOLD.
1. Select the worst dimmer which has the highest holding current in user’s dimmer list.
2. Increase CHOLD until input current drop at firing is not lower than TRIAC holding current. 
(The test condition should be max. and min. phase angle, in which input current drop is the lowest.)
</t>
        </r>
      </text>
    </comment>
    <comment ref="B39" authorId="0">
      <text>
        <r>
          <rPr>
            <b/>
            <sz val="9"/>
            <color indexed="81"/>
            <rFont val="Tahoma"/>
            <family val="2"/>
          </rPr>
          <t>Enter IHOLD (selected) close to IHOLD (recommended).
The FL7734 system will be compatible with dimmers 
which have lower holding current than IHOLD (selected).
In wide dimming design, IHOLD (selected) close to IHOLD (recommended) 
is strongly recommended for system reliability.</t>
        </r>
      </text>
    </comment>
    <comment ref="N39" authorId="0">
      <text>
        <r>
          <rPr>
            <b/>
            <sz val="9"/>
            <color indexed="81"/>
            <rFont val="Tahoma"/>
            <family val="2"/>
          </rPr>
          <t>RVDD1 dampens leading edge spike noise into VDD pin.
100 ohm is recommended at high-line and 50 ohm is recommended at low-line.</t>
        </r>
        <r>
          <rPr>
            <sz val="9"/>
            <color indexed="81"/>
            <rFont val="Tahoma"/>
            <family val="2"/>
          </rPr>
          <t xml:space="preserve">
</t>
        </r>
      </text>
    </comment>
    <comment ref="J40" authorId="0">
      <text>
        <r>
          <rPr>
            <b/>
            <sz val="9"/>
            <color indexed="81"/>
            <rFont val="Tahoma"/>
            <family val="2"/>
          </rPr>
          <t xml:space="preserve">Yield and temperature tolerance
RTCIC should be less than +/- 1%.
</t>
        </r>
      </text>
    </comment>
    <comment ref="N40" authorId="0">
      <text>
        <r>
          <rPr>
            <b/>
            <sz val="9"/>
            <color indexed="81"/>
            <rFont val="Tahoma"/>
            <family val="2"/>
          </rPr>
          <t xml:space="preserve">CIN2 is total EMI filter capacitor directly connected to transformer.
</t>
        </r>
      </text>
    </comment>
    <comment ref="J41" authorId="0">
      <text>
        <r>
          <rPr>
            <b/>
            <sz val="9"/>
            <color indexed="81"/>
            <rFont val="Tahoma"/>
            <family val="2"/>
          </rPr>
          <t>Yield and temperature tolerance
CTCIC should be less than +/- 5%.</t>
        </r>
      </text>
    </comment>
    <comment ref="N41" authorId="0">
      <text>
        <r>
          <rPr>
            <b/>
            <sz val="9"/>
            <color indexed="81"/>
            <rFont val="Tahoma"/>
            <family val="2"/>
          </rPr>
          <t xml:space="preserve">SRSP (sensing resistor short protection) is triggered 
when CS voltage is less than 0.1 V at first and second switching.
When Lm is highly designed, SRSP could be abnormally triggered 
due to low CS peak voltage.
ROFFSET can protect system from abnormally triggered SRSP 
by building voltage offset on RCOMP.
If CS peak is much higher than 0.1 V with small Lm, 
“open” message will appear and user doesn’t need to add ROFFSET.
</t>
        </r>
      </text>
    </comment>
    <comment ref="N43" authorId="0">
      <text>
        <r>
          <rPr>
            <b/>
            <sz val="9"/>
            <color indexed="81"/>
            <rFont val="Tahoma"/>
            <family val="2"/>
          </rPr>
          <t xml:space="preserve">At high-line, RBIAS1 is 2 Mohm.
At low-line, RBIAS1 is 620 kohm.
</t>
        </r>
      </text>
    </comment>
    <comment ref="N44" authorId="0">
      <text>
        <r>
          <rPr>
            <b/>
            <sz val="9"/>
            <color indexed="81"/>
            <rFont val="Tahoma"/>
            <family val="2"/>
          </rPr>
          <t xml:space="preserve">RBIAS2 protects BIAS pin from leading edge spike.
At leading edge, SWBLD Crss is quickly charged and the charging current spike could damage BIAS pin due to the over voltage.
RBIAS2 is generally 1kohm. 
When RBIAS2 is too small, the current spike at leading edge will affect the BIAS.
When RBIAS2 is too big, SWBLD current regulation is unstable.
</t>
        </r>
      </text>
    </comment>
    <comment ref="N45" authorId="0">
      <text>
        <r>
          <rPr>
            <b/>
            <sz val="9"/>
            <color indexed="81"/>
            <rFont val="Tahoma"/>
            <family val="2"/>
          </rPr>
          <t xml:space="preserve">CBIAS is generally 6.8 nF.
CBIAS protects BIAS pin from leading edge spike.
</t>
        </r>
      </text>
    </comment>
    <comment ref="J47" authorId="0">
      <text>
        <r>
          <rPr>
            <b/>
            <sz val="9"/>
            <color indexed="81"/>
            <rFont val="Tahoma"/>
            <family val="2"/>
          </rPr>
          <t>[Yield and temperature tolerance]
-RDIM1 and RDIM2 tolerance should be less than +/- 1%.
[ RDIM2/(RDIM1+RDIM2) (=rDIM) selection]
*Max. rDIM limit
FB should not be clamped by MOD voltage at max. phase angle. 
(If MOD clamps FB voltage at max. phase angle, 
output current will be higher than the rated output current.)
Therefore, check if FB is clamped by MOD voltage at max. phase angle condition.
-If FB is pulled up by MOD voltage, reduce rDIM. (In order to reduce rDIM, 
increase RDIM1 and decrease RDIM2. Keep RDIM1 + RDIM2 same as design tool.)
*Min. rDIM limit
-If output current oscillation with periodic visible flicker is occurred, increase rDIM.</t>
        </r>
      </text>
    </comment>
    <comment ref="J48" authorId="0">
      <text>
        <r>
          <rPr>
            <b/>
            <sz val="9"/>
            <color indexed="81"/>
            <rFont val="Tahoma"/>
            <family val="2"/>
          </rPr>
          <t>[Yield and temperature tolerance]
-RDIM1 and RDIM2 tolerance should be less than +/- 1%.
[ RDIM2/(RDIM1+RDIM2) (=rDIM) selection]
*Max. rDIM limit
FB should not be clamped by MOD voltage at max. phase angle. 
(If MOD clamps FB voltage at max. phase angle, 
output current will be higher than the rated output current.)
Therefore, check if FB is clamped by MOD voltage at max. phase angle condition.
-If FB is pulled up by MOD voltage, reduce rDIM. (In order to reduce rDIM, 
increase RDIM1 and decrease RDIM2. Keep RDIM1 + RDIM2 same as design tool.)
*Min. rDIM limit
-If output current oscillation with periodic visible flicker is occurred, increase rDIM.</t>
        </r>
      </text>
    </comment>
    <comment ref="N102" authorId="0">
      <text>
        <r>
          <rPr>
            <b/>
            <sz val="9"/>
            <color indexed="81"/>
            <rFont val="Tahoma"/>
            <family val="2"/>
          </rPr>
          <t>This value is generated by IVC optimization testing.</t>
        </r>
        <r>
          <rPr>
            <sz val="9"/>
            <color indexed="81"/>
            <rFont val="Tahoma"/>
            <family val="2"/>
          </rPr>
          <t xml:space="preserve">
</t>
        </r>
      </text>
    </comment>
    <comment ref="J104" authorId="0">
      <text>
        <r>
          <rPr>
            <b/>
            <sz val="9"/>
            <color indexed="81"/>
            <rFont val="Tahoma"/>
            <family val="2"/>
          </rPr>
          <t xml:space="preserve">VS.OVP = 2.9/3.0/3.1 V </t>
        </r>
        <r>
          <rPr>
            <sz val="9"/>
            <color indexed="81"/>
            <rFont val="Tahoma"/>
            <family val="2"/>
          </rPr>
          <t xml:space="preserve">
</t>
        </r>
      </text>
    </comment>
    <comment ref="J106" authorId="0">
      <text>
        <r>
          <rPr>
            <b/>
            <sz val="9"/>
            <color indexed="81"/>
            <rFont val="Tahoma"/>
            <family val="2"/>
          </rPr>
          <t>Ivs.bnk spec : 67/80/93 uA</t>
        </r>
        <r>
          <rPr>
            <sz val="9"/>
            <color indexed="81"/>
            <rFont val="Tahoma"/>
            <family val="2"/>
          </rPr>
          <t xml:space="preserve">
</t>
        </r>
      </text>
    </comment>
    <comment ref="N110" authorId="0">
      <text>
        <r>
          <rPr>
            <b/>
            <sz val="9"/>
            <color indexed="81"/>
            <rFont val="Tahoma"/>
            <family val="2"/>
          </rPr>
          <t>Target peak Vin for IVC optimization.</t>
        </r>
        <r>
          <rPr>
            <sz val="9"/>
            <color indexed="81"/>
            <rFont val="Tahoma"/>
            <family val="2"/>
          </rPr>
          <t xml:space="preserve">
</t>
        </r>
      </text>
    </comment>
    <comment ref="N111" authorId="0">
      <text>
        <r>
          <rPr>
            <b/>
            <sz val="9"/>
            <color indexed="81"/>
            <rFont val="Tahoma"/>
            <family val="2"/>
          </rPr>
          <t>Angle to start IVC shaping
0 ~ 90 degree
0 degree means that IVC start from peak.</t>
        </r>
        <r>
          <rPr>
            <sz val="9"/>
            <color indexed="81"/>
            <rFont val="Tahoma"/>
            <family val="2"/>
          </rPr>
          <t xml:space="preserve">
</t>
        </r>
      </text>
    </comment>
    <comment ref="F112" authorId="0">
      <text>
        <r>
          <rPr>
            <b/>
            <sz val="9"/>
            <color indexed="81"/>
            <rFont val="Tahoma"/>
            <family val="2"/>
          </rPr>
          <t>(Ipk.ND.DCM vs Ipk.D.DCM)
Ipk at dim &gt; Ipk at non-dim when Ihold is high.
Ipk at dim &lt; Ipk at non-dim when Ihold is low.</t>
        </r>
      </text>
    </comment>
    <comment ref="N113" authorId="0">
      <text>
        <r>
          <rPr>
            <b/>
            <sz val="9"/>
            <color indexed="81"/>
            <rFont val="Tahoma"/>
            <family val="2"/>
          </rPr>
          <t>Time to start IVC shaping</t>
        </r>
        <r>
          <rPr>
            <sz val="9"/>
            <color indexed="81"/>
            <rFont val="Tahoma"/>
            <family val="2"/>
          </rPr>
          <t xml:space="preserve">
</t>
        </r>
      </text>
    </comment>
    <comment ref="N114" authorId="0">
      <text>
        <r>
          <rPr>
            <b/>
            <sz val="9"/>
            <color indexed="81"/>
            <rFont val="Tahoma"/>
            <family val="2"/>
          </rPr>
          <t>Time to stop IVC shaping</t>
        </r>
        <r>
          <rPr>
            <sz val="9"/>
            <color indexed="81"/>
            <rFont val="Tahoma"/>
            <family val="2"/>
          </rPr>
          <t xml:space="preserve">
</t>
        </r>
      </text>
    </comment>
    <comment ref="N116" authorId="0">
      <text>
        <r>
          <rPr>
            <b/>
            <sz val="9"/>
            <color indexed="81"/>
            <rFont val="Tahoma"/>
            <family val="2"/>
          </rPr>
          <t>Time to start 0.5V RIVC clamping</t>
        </r>
        <r>
          <rPr>
            <sz val="9"/>
            <color indexed="81"/>
            <rFont val="Tahoma"/>
            <family val="2"/>
          </rPr>
          <t xml:space="preserve">
</t>
        </r>
      </text>
    </comment>
    <comment ref="J117" authorId="0">
      <text>
        <r>
          <rPr>
            <b/>
            <sz val="9"/>
            <color indexed="81"/>
            <rFont val="Tahoma"/>
            <family val="2"/>
          </rPr>
          <t>VFB.BOUND is generally 3 V.
VFB over VFB.BOUND will be ICC regulation.
VFB under VFB.BOUND will be OTC regulation.</t>
        </r>
        <r>
          <rPr>
            <sz val="9"/>
            <color indexed="81"/>
            <rFont val="Tahoma"/>
            <family val="2"/>
          </rPr>
          <t xml:space="preserve">
</t>
        </r>
      </text>
    </comment>
    <comment ref="N123" authorId="0">
      <text>
        <r>
          <rPr>
            <b/>
            <sz val="9"/>
            <color indexed="81"/>
            <rFont val="Tahoma"/>
            <family val="2"/>
          </rPr>
          <t>Cbleeder and Cin.total discharge current near line voltage zero crossing.
Those input capacitors are charged and discharged 
as the voltage across those capacitors are increased and decreased.
The max. discharging current is calculated to set Max. IVC current.</t>
        </r>
        <r>
          <rPr>
            <sz val="9"/>
            <color indexed="81"/>
            <rFont val="Tahoma"/>
            <family val="2"/>
          </rPr>
          <t xml:space="preserve">
</t>
        </r>
      </text>
    </comment>
    <comment ref="J124" authorId="0">
      <text>
        <r>
          <rPr>
            <b/>
            <sz val="9"/>
            <color indexed="81"/>
            <rFont val="Tahoma"/>
            <family val="2"/>
          </rPr>
          <t>Measured at room temp.
0.4V at both conditions
- Ricc1[20k], Ricc2[40k]
- Ricc1[5k], Ricc2[10k]
- room temp.</t>
        </r>
        <r>
          <rPr>
            <sz val="9"/>
            <color indexed="81"/>
            <rFont val="Tahoma"/>
            <family val="2"/>
          </rPr>
          <t xml:space="preserve">
</t>
        </r>
      </text>
    </comment>
    <comment ref="J125" authorId="0">
      <text>
        <r>
          <rPr>
            <b/>
            <sz val="9"/>
            <color indexed="81"/>
            <rFont val="Tahoma"/>
            <family val="2"/>
          </rPr>
          <t>Vf min.max. tolerance is +/-7.5% according to the datasheet.</t>
        </r>
        <r>
          <rPr>
            <sz val="9"/>
            <color indexed="81"/>
            <rFont val="Tahoma"/>
            <family val="2"/>
          </rPr>
          <t xml:space="preserve">
</t>
        </r>
      </text>
    </comment>
    <comment ref="J126" authorId="0">
      <text>
        <r>
          <rPr>
            <b/>
            <sz val="9"/>
            <color indexed="81"/>
            <rFont val="Tahoma"/>
            <family val="2"/>
          </rPr>
          <t>Vf min.max. tolerance is +/-7.5% according to the datasheet.</t>
        </r>
        <r>
          <rPr>
            <sz val="9"/>
            <color indexed="81"/>
            <rFont val="Tahoma"/>
            <family val="2"/>
          </rPr>
          <t xml:space="preserve">
</t>
        </r>
      </text>
    </comment>
    <comment ref="J127" authorId="0">
      <text>
        <r>
          <rPr>
            <b/>
            <sz val="9"/>
            <color indexed="81"/>
            <rFont val="Tahoma"/>
            <family val="2"/>
          </rPr>
          <t>Vf min.max. tolerance is +/-7.5% according to the datasheet.
Min. Vf at 125C is -40%
Max. Vf at 15C is +5%
according to the datasheet.</t>
        </r>
        <r>
          <rPr>
            <sz val="9"/>
            <color indexed="81"/>
            <rFont val="Tahoma"/>
            <family val="2"/>
          </rPr>
          <t xml:space="preserve">
</t>
        </r>
      </text>
    </comment>
    <comment ref="J128" authorId="0">
      <text>
        <r>
          <rPr>
            <b/>
            <sz val="9"/>
            <color indexed="81"/>
            <rFont val="Tahoma"/>
            <family val="2"/>
          </rPr>
          <t>Vf min.max. tolerance is +/-7.5% according to the datasheet.
Min. Vf at 125C is -40%
Max. Vf at 15C is +5%
according to the datasheet.</t>
        </r>
        <r>
          <rPr>
            <sz val="9"/>
            <color indexed="81"/>
            <rFont val="Tahoma"/>
            <family val="2"/>
          </rPr>
          <t xml:space="preserve">
</t>
        </r>
      </text>
    </comment>
    <comment ref="J130" authorId="0">
      <text>
        <r>
          <rPr>
            <b/>
            <sz val="9"/>
            <color indexed="81"/>
            <rFont val="Tahoma"/>
            <family val="2"/>
          </rPr>
          <t xml:space="preserve">Measured at room temp.
1.4V at both conditions
- Ricc1[20k], Ricc2[40k]
- Ricc1[5k], Ricc2[10k]
- room temp.
</t>
        </r>
        <r>
          <rPr>
            <sz val="9"/>
            <color indexed="81"/>
            <rFont val="Tahoma"/>
            <family val="2"/>
          </rPr>
          <t xml:space="preserve">
</t>
        </r>
      </text>
    </comment>
    <comment ref="J131" authorId="0">
      <text>
        <r>
          <rPr>
            <b/>
            <sz val="9"/>
            <color indexed="81"/>
            <rFont val="Tahoma"/>
            <family val="2"/>
          </rPr>
          <t>Vth min. tolerance is -12% 
Vth max. tolerance is +12% 
according to the datasheet.</t>
        </r>
        <r>
          <rPr>
            <sz val="9"/>
            <color indexed="81"/>
            <rFont val="Tahoma"/>
            <family val="2"/>
          </rPr>
          <t xml:space="preserve">
</t>
        </r>
      </text>
    </comment>
    <comment ref="J132" authorId="0">
      <text>
        <r>
          <rPr>
            <b/>
            <sz val="9"/>
            <color indexed="81"/>
            <rFont val="Tahoma"/>
            <family val="2"/>
          </rPr>
          <t>Vth min. tolerance is -12% 
Vth max. tolerance is +12% 
according to the datasheet.</t>
        </r>
        <r>
          <rPr>
            <sz val="9"/>
            <color indexed="81"/>
            <rFont val="Tahoma"/>
            <family val="2"/>
          </rPr>
          <t xml:space="preserve">
</t>
        </r>
      </text>
    </comment>
    <comment ref="J133" authorId="0">
      <text>
        <r>
          <rPr>
            <b/>
            <sz val="9"/>
            <color indexed="81"/>
            <rFont val="Tahoma"/>
            <family val="2"/>
          </rPr>
          <t>Vth min. tolerance is -12% 
Vth max. tolerance is +12% 
according to the datasheet.
Min. Vth at 125C is -16%
Max. Vth at 15C is +3%
according to the datasheet.</t>
        </r>
        <r>
          <rPr>
            <sz val="9"/>
            <color indexed="81"/>
            <rFont val="Tahoma"/>
            <family val="2"/>
          </rPr>
          <t xml:space="preserve">
</t>
        </r>
      </text>
    </comment>
    <comment ref="J134" authorId="0">
      <text>
        <r>
          <rPr>
            <b/>
            <sz val="9"/>
            <color indexed="81"/>
            <rFont val="Tahoma"/>
            <family val="2"/>
          </rPr>
          <t>Vth min. tolerance is -12% 
Vth max. tolerance is +12% 
according to the datasheet.
Min. Vth at 125C is -16%
Max. Vth at 15C is +3%
according to the datasheet.</t>
        </r>
        <r>
          <rPr>
            <sz val="9"/>
            <color indexed="81"/>
            <rFont val="Tahoma"/>
            <family val="2"/>
          </rPr>
          <t xml:space="preserve">
</t>
        </r>
      </text>
    </comment>
    <comment ref="J139" authorId="0">
      <text>
        <r>
          <rPr>
            <b/>
            <sz val="9"/>
            <color indexed="81"/>
            <rFont val="Tahoma"/>
            <family val="2"/>
          </rPr>
          <t>Max FB voltage at max. PA and mean Vin condition</t>
        </r>
      </text>
    </comment>
    <comment ref="J140" authorId="0">
      <text>
        <r>
          <rPr>
            <b/>
            <sz val="9"/>
            <color indexed="81"/>
            <rFont val="Tahoma"/>
            <family val="2"/>
          </rPr>
          <t>Max FB voltage at 180 PA and mean Vin condition</t>
        </r>
        <r>
          <rPr>
            <sz val="9"/>
            <color indexed="81"/>
            <rFont val="Tahoma"/>
            <family val="2"/>
          </rPr>
          <t xml:space="preserve">
</t>
        </r>
      </text>
    </comment>
    <comment ref="J141" authorId="0">
      <text>
        <r>
          <rPr>
            <b/>
            <sz val="9"/>
            <color indexed="81"/>
            <rFont val="Tahoma"/>
            <family val="2"/>
          </rPr>
          <t>Max. VHOLD when FB is not limited by 4.9 V.</t>
        </r>
        <r>
          <rPr>
            <sz val="9"/>
            <color indexed="81"/>
            <rFont val="Tahoma"/>
            <family val="2"/>
          </rPr>
          <t xml:space="preserve">
</t>
        </r>
      </text>
    </comment>
    <comment ref="J142" authorId="0">
      <text>
        <r>
          <rPr>
            <b/>
            <sz val="9"/>
            <color indexed="81"/>
            <rFont val="Tahoma"/>
            <family val="2"/>
          </rPr>
          <t>Max. VHOLD when FB is 4.9V max condition.</t>
        </r>
        <r>
          <rPr>
            <sz val="9"/>
            <color indexed="81"/>
            <rFont val="Tahoma"/>
            <family val="2"/>
          </rPr>
          <t xml:space="preserve">
</t>
        </r>
      </text>
    </comment>
    <comment ref="J143" authorId="0">
      <text>
        <r>
          <rPr>
            <b/>
            <sz val="9"/>
            <color indexed="81"/>
            <rFont val="Tahoma"/>
            <family val="2"/>
          </rPr>
          <t>Iout drop ratio compared to max. output current
This worst condition is
- 15C room temperature
- IHOLD, Vth and Vf are max.
- max. PA
- mean input voltage
+% is drop. -% is no drop.</t>
        </r>
      </text>
    </comment>
    <comment ref="J145" authorId="0">
      <text>
        <r>
          <rPr>
            <b/>
            <sz val="9"/>
            <color indexed="81"/>
            <rFont val="Tahoma"/>
            <family val="2"/>
          </rPr>
          <t>Input current at 
-max. Vin
-180PA
-assuming that OTC is disabled and ICC without min. VHOLD is enabled.</t>
        </r>
        <r>
          <rPr>
            <sz val="9"/>
            <color indexed="81"/>
            <rFont val="Tahoma"/>
            <family val="2"/>
          </rPr>
          <t xml:space="preserve">
</t>
        </r>
      </text>
    </comment>
    <comment ref="J158" authorId="0">
      <text>
        <r>
          <rPr>
            <b/>
            <sz val="9"/>
            <color indexed="81"/>
            <rFont val="Tahoma"/>
            <family val="2"/>
          </rPr>
          <t>Phase cut time at open loop starting point.</t>
        </r>
        <r>
          <rPr>
            <sz val="9"/>
            <color indexed="81"/>
            <rFont val="Tahoma"/>
            <family val="2"/>
          </rPr>
          <t xml:space="preserve">
</t>
        </r>
      </text>
    </comment>
    <comment ref="J162" authorId="0">
      <text>
        <r>
          <rPr>
            <b/>
            <sz val="9"/>
            <color indexed="81"/>
            <rFont val="Tahoma"/>
            <family val="2"/>
          </rPr>
          <t>VFB which starts entering digital filtering</t>
        </r>
        <r>
          <rPr>
            <sz val="9"/>
            <color indexed="81"/>
            <rFont val="Tahoma"/>
            <family val="2"/>
          </rPr>
          <t xml:space="preserve">
</t>
        </r>
      </text>
    </comment>
  </commentList>
</comments>
</file>

<file path=xl/comments3.xml><?xml version="1.0" encoding="utf-8"?>
<comments xmlns="http://schemas.openxmlformats.org/spreadsheetml/2006/main">
  <authors>
    <author>desktop</author>
    <author>snoopy</author>
    <author>info</author>
  </authors>
  <commentList>
    <comment ref="F27" authorId="0">
      <text>
        <r>
          <rPr>
            <b/>
            <sz val="9"/>
            <color indexed="81"/>
            <rFont val="Tahoma"/>
            <family val="2"/>
          </rPr>
          <t>Max. Duty is set between 10~30%.</t>
        </r>
      </text>
    </comment>
    <comment ref="J27" authorId="1">
      <text>
        <r>
          <rPr>
            <b/>
            <sz val="9"/>
            <color indexed="81"/>
            <rFont val="Tahoma"/>
            <family val="2"/>
          </rPr>
          <t>Max. VCS should be lower than 1.08 V current-limit. 
Max. VCS should be lower than 1.08 V current-limit. 
Higher Max. VCS increases RCS and nPS.
[Effect of higher nPS]
widens DCM region and reduces BCM region.
NS and NA are reduced. (more margin for window area)
higher snubber loss or higher max. voltage of switching MOSFET
lower max. voltage of output diode</t>
        </r>
      </text>
    </comment>
    <comment ref="N27" authorId="0">
      <text>
        <r>
          <rPr>
            <b/>
            <sz val="9"/>
            <color indexed="81"/>
            <rFont val="Tahoma"/>
            <family val="2"/>
          </rPr>
          <t xml:space="preserve">At high-line, RVIN1 is 2 Mohm.
At low-line, RVIN1 is 620 kohm.
</t>
        </r>
      </text>
    </comment>
    <comment ref="R27" authorId="0">
      <text>
        <r>
          <rPr>
            <b/>
            <sz val="9"/>
            <color indexed="81"/>
            <rFont val="Tahoma"/>
            <family val="2"/>
          </rPr>
          <t>Damper resistor
Increase resistor value until mis-firing at leading edge is disappeared.
Larger damper resistor can help to remove shimmer by stabilizing leading edge moment.
So, user can also increase this value until shimmer is removed if shimmer is shown.</t>
        </r>
      </text>
    </comment>
    <comment ref="F28" authorId="0">
      <text>
        <r>
          <rPr>
            <b/>
            <sz val="9"/>
            <color indexed="81"/>
            <rFont val="Tahoma"/>
            <family val="2"/>
          </rPr>
          <t>Switching frequency at non-dimming mode.
This is generally set around 65 kHz.
In general, conduction EMI becomes better as switching freq. is lower.</t>
        </r>
      </text>
    </comment>
    <comment ref="R28" authorId="0">
      <text>
        <r>
          <rPr>
            <b/>
            <sz val="9"/>
            <color indexed="81"/>
            <rFont val="Tahoma"/>
            <family val="2"/>
          </rPr>
          <t>If I.DP.BIAS is higher than this value, snubber voltage will be lower than desired snubber voltage in snubber design section.</t>
        </r>
        <r>
          <rPr>
            <sz val="9"/>
            <color indexed="81"/>
            <rFont val="Tahoma"/>
            <family val="2"/>
          </rPr>
          <t xml:space="preserve">
</t>
        </r>
      </text>
    </comment>
    <comment ref="F29" authorId="0">
      <text>
        <r>
          <rPr>
            <b/>
            <sz val="9"/>
            <color indexed="81"/>
            <rFont val="Tahoma"/>
            <family val="2"/>
          </rPr>
          <t>Max. Ton should be less than 10 us.</t>
        </r>
        <r>
          <rPr>
            <sz val="9"/>
            <color indexed="81"/>
            <rFont val="Tahoma"/>
            <family val="2"/>
          </rPr>
          <t xml:space="preserve">
</t>
        </r>
      </text>
    </comment>
    <comment ref="N29" authorId="0">
      <text>
        <r>
          <rPr>
            <b/>
            <sz val="9"/>
            <color indexed="81"/>
            <rFont val="Tahoma"/>
            <family val="2"/>
          </rPr>
          <t xml:space="preserve">CVIN filters switching noise into VIN pin.
</t>
        </r>
      </text>
    </comment>
    <comment ref="R29" authorId="0">
      <text>
        <r>
          <rPr>
            <b/>
            <sz val="9"/>
            <color indexed="81"/>
            <rFont val="Tahoma"/>
            <family val="2"/>
          </rPr>
          <t xml:space="preserve">Active damper biasing current is generally 0.3 ~ 1.0 mA.
If I.DP.BIAS is too low, SW.DP gate rising time becomes longer which will increase SW.DP temperature with large switching loss.
</t>
        </r>
      </text>
    </comment>
    <comment ref="J30" authorId="0">
      <text>
        <r>
          <rPr>
            <b/>
            <sz val="9"/>
            <color indexed="81"/>
            <rFont val="Tahoma"/>
            <family val="2"/>
          </rPr>
          <t xml:space="preserve">TGATE.OFF.PD is the time from VCS peak to ISW (Switch current) peak.
ISW should be measured at the node between transformer and MOSFET drain.
</t>
        </r>
      </text>
    </comment>
    <comment ref="B31" authorId="0">
      <text>
        <r>
          <rPr>
            <b/>
            <sz val="9"/>
            <color indexed="81"/>
            <rFont val="Tahoma"/>
            <family val="2"/>
          </rPr>
          <t>In wide I/O design, min. Vout can be lowered based on Pout.
At high-line, min. Vout can be reduced to "rated Vout x 15W / Pout".
At low-line, min. Vout can be reduced to "rated Vout x 5W / Pout".</t>
        </r>
        <r>
          <rPr>
            <sz val="9"/>
            <color indexed="81"/>
            <rFont val="Tahoma"/>
            <family val="2"/>
          </rPr>
          <t xml:space="preserve">
</t>
        </r>
      </text>
    </comment>
    <comment ref="J31" authorId="0">
      <text>
        <r>
          <rPr>
            <b/>
            <sz val="9"/>
            <color indexed="81"/>
            <rFont val="Tahoma"/>
            <family val="2"/>
          </rPr>
          <t xml:space="preserve">RCOMP compensates CC tolerance by line voltage change.
( Line CC tolerance is caused by TGATE.OFF.PD. )
</t>
        </r>
      </text>
    </comment>
    <comment ref="N31" authorId="0">
      <text>
        <r>
          <rPr>
            <b/>
            <sz val="9"/>
            <color indexed="81"/>
            <rFont val="Tahoma"/>
            <family val="2"/>
          </rPr>
          <t xml:space="preserve">Total EMI filter capacitor behind the bridge diode.
At wide I/O design, user doesn’t need to use MLCC 
for CIN.TOTAL and CBLEEDER to handle wide input voltage.
</t>
        </r>
      </text>
    </comment>
    <comment ref="J32" authorId="0">
      <text>
        <r>
          <rPr>
            <b/>
            <sz val="9"/>
            <color indexed="81"/>
            <rFont val="Tahoma"/>
            <family val="2"/>
          </rPr>
          <t xml:space="preserve">CFB is typically 1 ~ 2.2 uF. Larger CFB makes slower feedback loop.
</t>
        </r>
      </text>
    </comment>
    <comment ref="N32" authorId="0">
      <text>
        <r>
          <rPr>
            <b/>
            <sz val="9"/>
            <color indexed="81"/>
            <rFont val="Tahoma"/>
            <family val="2"/>
          </rPr>
          <t xml:space="preserve">Total bleeder capacitor
[CBLEEDER selection guidance]
- Check input current at firing with leading edge dimmer
- Increase CBLEEDER until input current drop is higher than TRIAC holding current at the firing moment.
</t>
        </r>
      </text>
    </comment>
    <comment ref="B33" authorId="1">
      <text>
        <r>
          <rPr>
            <b/>
            <sz val="9"/>
            <color indexed="81"/>
            <rFont val="Tahoma"/>
            <family val="2"/>
          </rPr>
          <t>Output over voltage protection level. 
When Vout is higher than this level, proteciton will be triggered.</t>
        </r>
        <r>
          <rPr>
            <sz val="9"/>
            <color indexed="81"/>
            <rFont val="Tahoma"/>
            <family val="2"/>
          </rPr>
          <t xml:space="preserve">
</t>
        </r>
      </text>
    </comment>
    <comment ref="N33" authorId="0">
      <text>
        <r>
          <rPr>
            <b/>
            <sz val="9"/>
            <color indexed="81"/>
            <rFont val="Tahoma"/>
            <family val="2"/>
          </rPr>
          <t xml:space="preserve">[RBLEEDER selection guidance]
- Test condition : Max./Half/Min. phase angle
 Probe both input current and RBLEEDER current.
 Find RBLEEDER value which minimizes input current drop at firing.
</t>
        </r>
      </text>
    </comment>
    <comment ref="R33" authorId="0">
      <text>
        <r>
          <rPr>
            <b/>
            <sz val="9"/>
            <color indexed="81"/>
            <rFont val="Tahoma"/>
            <family val="2"/>
          </rPr>
          <t>Recommended max. active damper current limit</t>
        </r>
        <r>
          <rPr>
            <sz val="9"/>
            <color indexed="81"/>
            <rFont val="Tahoma"/>
            <family val="2"/>
          </rPr>
          <t xml:space="preserve">
</t>
        </r>
      </text>
    </comment>
    <comment ref="F34" authorId="0">
      <text>
        <r>
          <rPr>
            <b/>
            <sz val="9"/>
            <color indexed="81"/>
            <rFont val="Tahoma"/>
            <family val="2"/>
          </rPr>
          <t>Enter NP higher than Min. NP.</t>
        </r>
      </text>
    </comment>
    <comment ref="R34" authorId="0">
      <text>
        <r>
          <rPr>
            <b/>
            <sz val="9"/>
            <color indexed="81"/>
            <rFont val="Tahoma"/>
            <family val="2"/>
          </rPr>
          <t xml:space="preserve">If IDP.MAX is too large, current limit resistor (RDP5) should be too small which could occur unstable SWDP turn-on.
If IDP.MAX is too small, RDP5 will be larger which causes larger power loss with lower efficiency.
</t>
        </r>
        <r>
          <rPr>
            <sz val="9"/>
            <color indexed="81"/>
            <rFont val="Tahoma"/>
            <family val="2"/>
          </rPr>
          <t xml:space="preserve">
</t>
        </r>
      </text>
    </comment>
    <comment ref="J35" authorId="0">
      <text>
        <r>
          <rPr>
            <b/>
            <sz val="9"/>
            <color indexed="81"/>
            <rFont val="Tahoma"/>
            <family val="2"/>
          </rPr>
          <t xml:space="preserve">CVS relieves voltage spike at gate-off.
Increase CVS until VS voltage at 1.5 us after gate-off is flat.
</t>
        </r>
      </text>
    </comment>
    <comment ref="N35" authorId="0">
      <text>
        <r>
          <rPr>
            <b/>
            <sz val="9"/>
            <color indexed="81"/>
            <rFont val="Tahoma"/>
            <family val="2"/>
          </rPr>
          <t>At wide I/O design, RRBLD selection is more flexible and 
user can increase RRBLD to reduce bleeding current 
if bleeding switch is too hot. 
Once increasing RRBLD, Max. IBLD (upper limit) will be reduced 
and RMBLD will be larger.</t>
        </r>
      </text>
    </comment>
    <comment ref="R35" authorId="0">
      <text>
        <r>
          <rPr>
            <b/>
            <sz val="9"/>
            <color indexed="81"/>
            <rFont val="Tahoma"/>
            <family val="2"/>
          </rPr>
          <t>Active damper current limit resistor</t>
        </r>
        <r>
          <rPr>
            <sz val="9"/>
            <color indexed="81"/>
            <rFont val="Tahoma"/>
            <family val="2"/>
          </rPr>
          <t xml:space="preserve">
</t>
        </r>
      </text>
    </comment>
    <comment ref="F36" authorId="0">
      <text>
        <r>
          <rPr>
            <b/>
            <sz val="9"/>
            <color indexed="81"/>
            <rFont val="Tahoma"/>
            <family val="2"/>
          </rPr>
          <t>NS &amp; NA (recommended) are dependent on 
Max. VCS (expected) in Feedback Circuit Section.
If NS &amp; NA (recommended) are too many in the allowed window, increase Max. VCS (expected).</t>
        </r>
      </text>
    </comment>
    <comment ref="R36" authorId="0">
      <text>
        <r>
          <rPr>
            <b/>
            <sz val="9"/>
            <color indexed="81"/>
            <rFont val="Tahoma"/>
            <family val="2"/>
          </rPr>
          <t xml:space="preserve">Delay capacitor for active damper switch turn-on
C.DP is generally 10 nF. 
Check if input current ringing is almost dampened after leading edge.
If SW.DP is turned on after enough damping, C.DP is appropriate value.
</t>
        </r>
      </text>
    </comment>
    <comment ref="B37" authorId="0">
      <text>
        <r>
          <rPr>
            <b/>
            <sz val="9"/>
            <color indexed="81"/>
            <rFont val="Tahoma"/>
            <family val="2"/>
          </rPr>
          <t>Output current is constantly regulated 
from CC (Constant Current) phase angle to 180º.
CC phase angle is normally 130º.</t>
        </r>
      </text>
    </comment>
    <comment ref="N37" authorId="0">
      <text>
        <r>
          <rPr>
            <b/>
            <sz val="9"/>
            <color indexed="81"/>
            <rFont val="Tahoma"/>
            <family val="2"/>
          </rPr>
          <t>Max. bleeding current : Bleeding current during startup sequence and phase-cut time.
Select this value lower than Max. IBLD upper limit.
Higher Max. IBLD can have more margin to maintain input current higher than holding current during startup sequence.
Lower Max. IBLD can reduce the SWBLD temperature during startup sequence and AR time.</t>
        </r>
      </text>
    </comment>
    <comment ref="R37" authorId="0">
      <text>
        <r>
          <rPr>
            <b/>
            <sz val="9"/>
            <color indexed="81"/>
            <rFont val="Tahoma"/>
            <family val="2"/>
          </rPr>
          <t>Minimum snubber voltage at ND.MODE.
Enter the snubber voltage at zero crossing voltage.</t>
        </r>
      </text>
    </comment>
    <comment ref="F38" authorId="0">
      <text>
        <r>
          <rPr>
            <b/>
            <sz val="9"/>
            <color indexed="81"/>
            <rFont val="Tahoma"/>
            <family val="2"/>
          </rPr>
          <t>NS &amp; NA (recommended) are dependent on 
Max. VCS (expected) in Feedback Circuit Section.
If NS &amp; NA (recommended) are too many in the allowed window, increase Max. VCS (expected).</t>
        </r>
      </text>
    </comment>
    <comment ref="J38" authorId="0">
      <text>
        <r>
          <rPr>
            <b/>
            <sz val="9"/>
            <color indexed="81"/>
            <rFont val="Tahoma"/>
            <family val="2"/>
          </rPr>
          <t xml:space="preserve">In general, CHOLD is 1 ~ 5 nF.
Large CHOLD has pros and cons.
Pros : can remove LED shimmer if there is.
Cons : input current at firing drops which can cause TRIAC mis-firing with flicker.
How to select CHOLD.
1. Select the worst dimmer which has the highest holding current in user’s dimmer list.
2. Increase CHOLD until input current drop at firing is not lower than TRIAC holding current. 
(The test condition should be max. and min. phase angle, in which input current drop is the lowest.)
</t>
        </r>
      </text>
    </comment>
    <comment ref="R38" authorId="0">
      <text>
        <r>
          <rPr>
            <b/>
            <sz val="9"/>
            <color indexed="81"/>
            <rFont val="Tahoma"/>
            <family val="2"/>
          </rPr>
          <t xml:space="preserve">VZD.DP1 is generally 30 V and should be lower than VSN.MIN.ND.
If SWDP is always turned on at max. phase angle condition,  
increase VZD.DP1. 
If SWDP gate is turned off with efficiency drop at no dimmer condition,
reduce VZD.DP1.
</t>
        </r>
      </text>
    </comment>
    <comment ref="B39" authorId="0">
      <text>
        <r>
          <rPr>
            <b/>
            <sz val="9"/>
            <color indexed="81"/>
            <rFont val="Tahoma"/>
            <family val="2"/>
          </rPr>
          <t>Enter IHOLD (selected) close to IHOLD (recommended).
The FL7734 system will be compatible with dimmers 
which have lower holding current than IHOLD (selected).
In wide I/O design, IHOLD (selected) could be determined 
higher than IHOLD (recommended).
But, it will reduce dimming range.</t>
        </r>
      </text>
    </comment>
    <comment ref="F39" authorId="0">
      <text>
        <r>
          <rPr>
            <b/>
            <sz val="9"/>
            <color indexed="81"/>
            <rFont val="Tahoma"/>
            <family val="2"/>
          </rPr>
          <t>Enter leakage inductance after measuring transformer designed by the above spec.</t>
        </r>
        <r>
          <rPr>
            <sz val="9"/>
            <color indexed="81"/>
            <rFont val="Tahoma"/>
            <family val="2"/>
          </rPr>
          <t xml:space="preserve">
</t>
        </r>
      </text>
    </comment>
    <comment ref="N40" authorId="0">
      <text>
        <r>
          <rPr>
            <b/>
            <sz val="9"/>
            <color indexed="81"/>
            <rFont val="Tahoma"/>
            <family val="2"/>
          </rPr>
          <t>RVDD1 dampens leading edge spike noise into VDD pin.
100 ohm is recommended at high-line and 50 ohm is recommended at low-line.</t>
        </r>
        <r>
          <rPr>
            <sz val="9"/>
            <color indexed="81"/>
            <rFont val="Tahoma"/>
            <family val="2"/>
          </rPr>
          <t xml:space="preserve">
</t>
        </r>
      </text>
    </comment>
    <comment ref="F41" authorId="0">
      <text>
        <r>
          <rPr>
            <b/>
            <sz val="9"/>
            <color indexed="81"/>
            <rFont val="Tahoma"/>
            <family val="2"/>
          </rPr>
          <t>Vsn is generally set as 2~2.5 times Nps x Vo.</t>
        </r>
        <r>
          <rPr>
            <sz val="9"/>
            <color indexed="81"/>
            <rFont val="Tahoma"/>
            <family val="2"/>
          </rPr>
          <t xml:space="preserve">
</t>
        </r>
      </text>
    </comment>
    <comment ref="N41" authorId="0">
      <text>
        <r>
          <rPr>
            <b/>
            <sz val="9"/>
            <color indexed="81"/>
            <rFont val="Tahoma"/>
            <family val="2"/>
          </rPr>
          <t xml:space="preserve">CIN2 is total EMI filter capacitor directly connected to transformer.
</t>
        </r>
      </text>
    </comment>
    <comment ref="F42" authorId="2">
      <text>
        <r>
          <rPr>
            <b/>
            <sz val="9"/>
            <color indexed="81"/>
            <rFont val="돋움"/>
            <family val="3"/>
            <charset val="129"/>
          </rPr>
          <t>∆</t>
        </r>
        <r>
          <rPr>
            <b/>
            <sz val="9"/>
            <color indexed="81"/>
            <rFont val="Tahoma"/>
            <family val="2"/>
          </rPr>
          <t>Vsn is generally set around 5% ripple of Vsn.</t>
        </r>
      </text>
    </comment>
    <comment ref="J42" authorId="0">
      <text>
        <r>
          <rPr>
            <b/>
            <sz val="9"/>
            <color indexed="81"/>
            <rFont val="Tahoma"/>
            <family val="2"/>
          </rPr>
          <t xml:space="preserve">[Yield and temperature tolerance]
-RDIM1 and RDIM2 tolerance should be less than +/- 1%.
[ RDIM2/(RDIM1+RDIM2) (=rDIM) selection]
*Max. rDIM limit
At wide I/O design, calculated rDIM is low enough and 
FB is hardly clamped by MOD at max. phase angle condition.
Therefore, user doesn’t need to check FB clamping like wide dimming design.
*Min. rDIM limit
-At wide I/O design, there is no output current oscillation with periodic visible flicker.
-Therefore, user doesn’t need to check periodic visible flicker like wide dimming design.
</t>
        </r>
      </text>
    </comment>
    <comment ref="N42" authorId="0">
      <text>
        <r>
          <rPr>
            <b/>
            <sz val="9"/>
            <color indexed="81"/>
            <rFont val="Tahoma"/>
            <family val="2"/>
          </rPr>
          <t xml:space="preserve">SRSP (sensing resistor short protection) is triggered 
when CS voltage is less than 0.1 V at first and second switching.
When Lm is highly designed, SRSP could be abnormally triggered 
due to low CS peak voltage.
ROFFSET can protect system from abnormally triggered SRSP 
by building voltage offset on RCOMP.
If CS peak is much higher than 0.1 V with small Lm, 
“open” message will appear and user doesn’t need to add ROFFSET.
</t>
        </r>
      </text>
    </comment>
    <comment ref="F43" authorId="0">
      <text>
        <r>
          <rPr>
            <b/>
            <sz val="9"/>
            <color indexed="81"/>
            <rFont val="Tahoma"/>
            <family val="2"/>
          </rPr>
          <t>If active damper is not used, select RSN (w/o active damper)</t>
        </r>
      </text>
    </comment>
    <comment ref="J43" authorId="0">
      <text>
        <r>
          <rPr>
            <b/>
            <sz val="9"/>
            <color indexed="81"/>
            <rFont val="Tahoma"/>
            <family val="2"/>
          </rPr>
          <t>[Yield and temperature tolerance]
-RDIM1 and RDIM2 tolerance should be less than +/- 1%.
[ RDIM2/(RDIM1+RDIM2) (=rDIM) selection]
*Max. rDIM limit
At wide I/O design, calculated rDIM is low enough and 
FB is hardly clamped by MOD at max. phase angle condition.
Therefore, user doesn’t need to check FB clamping like wide dimming design.
*Min. rDIM limit
-At wide I/O design, there is no output current oscillation with periodic visible flicker.
-Therefore, user doesn’t need to check periodic visible flicker like wide dimming design.</t>
        </r>
      </text>
    </comment>
    <comment ref="F44" authorId="0">
      <text>
        <r>
          <rPr>
            <b/>
            <sz val="9"/>
            <color indexed="81"/>
            <rFont val="Tahoma"/>
            <family val="2"/>
          </rPr>
          <t xml:space="preserve">If active damper is used, select RSN (w/ active damper)
Because RDP2 path provides biasing current for active damper,
snubber voltage is determined by both RSN and RDP2 path. 
</t>
        </r>
      </text>
    </comment>
    <comment ref="N44" authorId="0">
      <text>
        <r>
          <rPr>
            <b/>
            <sz val="9"/>
            <color indexed="81"/>
            <rFont val="Tahoma"/>
            <family val="2"/>
          </rPr>
          <t xml:space="preserve">At high-line, RBIAS1 is 2 Mohm.
At low-line, RBIAS1 is 620 kohm.
</t>
        </r>
      </text>
    </comment>
    <comment ref="N45" authorId="0">
      <text>
        <r>
          <rPr>
            <b/>
            <sz val="9"/>
            <color indexed="81"/>
            <rFont val="Tahoma"/>
            <family val="2"/>
          </rPr>
          <t xml:space="preserve">RBIAS2 protects BIAS pin from leading edge spike.
At leading edge, SWBLD Crss is quickly charged and the charging current spike could damage BIAS pin due to the over voltage.
RBIAS2 is generally 1kohm. 
When RBIAS2 is too small, the current spike at leading edge will affect the BIAS.
When RBIAS2 is too big, SWBLD current regulation is unstable.
</t>
        </r>
      </text>
    </comment>
    <comment ref="N46" authorId="0">
      <text>
        <r>
          <rPr>
            <b/>
            <sz val="9"/>
            <color indexed="81"/>
            <rFont val="Tahoma"/>
            <family val="2"/>
          </rPr>
          <t xml:space="preserve">CBIAS is generally 6.8 nF.
CBIAS protects BIAS pin from leading edge spike.
</t>
        </r>
      </text>
    </comment>
    <comment ref="N114" authorId="0">
      <text>
        <r>
          <rPr>
            <b/>
            <sz val="9"/>
            <color indexed="81"/>
            <rFont val="Tahoma"/>
            <family val="2"/>
          </rPr>
          <t>This value is generated by IVC optimization testing.</t>
        </r>
        <r>
          <rPr>
            <sz val="9"/>
            <color indexed="81"/>
            <rFont val="Tahoma"/>
            <family val="2"/>
          </rPr>
          <t xml:space="preserve">
</t>
        </r>
      </text>
    </comment>
    <comment ref="J117" authorId="0">
      <text>
        <r>
          <rPr>
            <b/>
            <sz val="9"/>
            <color indexed="81"/>
            <rFont val="Tahoma"/>
            <family val="2"/>
          </rPr>
          <t xml:space="preserve">VS.OVP = 2.9/3.0/3.1 V </t>
        </r>
        <r>
          <rPr>
            <sz val="9"/>
            <color indexed="81"/>
            <rFont val="Tahoma"/>
            <family val="2"/>
          </rPr>
          <t xml:space="preserve">
</t>
        </r>
      </text>
    </comment>
    <comment ref="J119" authorId="0">
      <text>
        <r>
          <rPr>
            <b/>
            <sz val="9"/>
            <color indexed="81"/>
            <rFont val="Tahoma"/>
            <family val="2"/>
          </rPr>
          <t>Ivs.bnk spec : 67/80/93 uA</t>
        </r>
        <r>
          <rPr>
            <sz val="9"/>
            <color indexed="81"/>
            <rFont val="Tahoma"/>
            <family val="2"/>
          </rPr>
          <t xml:space="preserve">
</t>
        </r>
      </text>
    </comment>
    <comment ref="N120" authorId="0">
      <text>
        <r>
          <rPr>
            <b/>
            <sz val="9"/>
            <color indexed="81"/>
            <rFont val="Tahoma"/>
            <family val="2"/>
          </rPr>
          <t>Target peak Vin for IVC optimization.</t>
        </r>
        <r>
          <rPr>
            <sz val="9"/>
            <color indexed="81"/>
            <rFont val="Tahoma"/>
            <family val="2"/>
          </rPr>
          <t xml:space="preserve">
</t>
        </r>
      </text>
    </comment>
    <comment ref="N121" authorId="0">
      <text>
        <r>
          <rPr>
            <b/>
            <sz val="9"/>
            <color indexed="81"/>
            <rFont val="Tahoma"/>
            <family val="2"/>
          </rPr>
          <t>Angle to start IVC shaping
0 ~ 90 degree
0 degree means that IVC start from peak.</t>
        </r>
        <r>
          <rPr>
            <sz val="9"/>
            <color indexed="81"/>
            <rFont val="Tahoma"/>
            <family val="2"/>
          </rPr>
          <t xml:space="preserve">
</t>
        </r>
      </text>
    </comment>
    <comment ref="N123" authorId="0">
      <text>
        <r>
          <rPr>
            <b/>
            <sz val="9"/>
            <color indexed="81"/>
            <rFont val="Tahoma"/>
            <family val="2"/>
          </rPr>
          <t>Time to start IVC shaping</t>
        </r>
        <r>
          <rPr>
            <sz val="9"/>
            <color indexed="81"/>
            <rFont val="Tahoma"/>
            <family val="2"/>
          </rPr>
          <t xml:space="preserve">
</t>
        </r>
      </text>
    </comment>
    <comment ref="F124" authorId="0">
      <text>
        <r>
          <rPr>
            <b/>
            <sz val="9"/>
            <color indexed="81"/>
            <rFont val="Tahoma"/>
            <family val="2"/>
          </rPr>
          <t>(Ipk.ND.DCM vs Ipk.D.DCM)
Ipk at dim &gt; Ipk at non-dim when Ihold is high.
Ipk at dim &lt; Ipk at non-dim when Ihold is low.</t>
        </r>
      </text>
    </comment>
    <comment ref="N124" authorId="0">
      <text>
        <r>
          <rPr>
            <b/>
            <sz val="9"/>
            <color indexed="81"/>
            <rFont val="Tahoma"/>
            <family val="2"/>
          </rPr>
          <t>Time to stop IVC shaping</t>
        </r>
        <r>
          <rPr>
            <sz val="9"/>
            <color indexed="81"/>
            <rFont val="Tahoma"/>
            <family val="2"/>
          </rPr>
          <t xml:space="preserve">
</t>
        </r>
      </text>
    </comment>
    <comment ref="N126" authorId="0">
      <text>
        <r>
          <rPr>
            <b/>
            <sz val="9"/>
            <color indexed="81"/>
            <rFont val="Tahoma"/>
            <family val="2"/>
          </rPr>
          <t>Time to start 0.5V RIVC clamping</t>
        </r>
        <r>
          <rPr>
            <sz val="9"/>
            <color indexed="81"/>
            <rFont val="Tahoma"/>
            <family val="2"/>
          </rPr>
          <t xml:space="preserve">
</t>
        </r>
      </text>
    </comment>
    <comment ref="J131" authorId="0">
      <text>
        <r>
          <rPr>
            <b/>
            <sz val="9"/>
            <color indexed="81"/>
            <rFont val="Tahoma"/>
            <family val="2"/>
          </rPr>
          <t>Measured at room temp.
0.4V at both conditions
- Ricc1[20k], Ricc2[40k]
- Ricc1[5k], Ricc2[10k]
- room temp.</t>
        </r>
        <r>
          <rPr>
            <sz val="9"/>
            <color indexed="81"/>
            <rFont val="Tahoma"/>
            <family val="2"/>
          </rPr>
          <t xml:space="preserve">
</t>
        </r>
      </text>
    </comment>
    <comment ref="J132" authorId="0">
      <text>
        <r>
          <rPr>
            <b/>
            <sz val="9"/>
            <color indexed="81"/>
            <rFont val="Tahoma"/>
            <family val="2"/>
          </rPr>
          <t>Vf min.max. tolerance is +/-7.5% according to the datasheet.</t>
        </r>
        <r>
          <rPr>
            <sz val="9"/>
            <color indexed="81"/>
            <rFont val="Tahoma"/>
            <family val="2"/>
          </rPr>
          <t xml:space="preserve">
</t>
        </r>
      </text>
    </comment>
    <comment ref="J133" authorId="0">
      <text>
        <r>
          <rPr>
            <b/>
            <sz val="9"/>
            <color indexed="81"/>
            <rFont val="Tahoma"/>
            <family val="2"/>
          </rPr>
          <t>Vf min.max. tolerance is +/-7.5% according to the datasheet.</t>
        </r>
        <r>
          <rPr>
            <sz val="9"/>
            <color indexed="81"/>
            <rFont val="Tahoma"/>
            <family val="2"/>
          </rPr>
          <t xml:space="preserve">
</t>
        </r>
      </text>
    </comment>
    <comment ref="N133" authorId="0">
      <text>
        <r>
          <rPr>
            <b/>
            <sz val="9"/>
            <color indexed="81"/>
            <rFont val="Tahoma"/>
            <family val="2"/>
          </rPr>
          <t>Cbleeder and Cin.total discharge current near line voltage zero crossing.
Those input capacitors are charged and discharged 
as the voltage across those capacitors are increased and decreased.
The max. discharging current is calculated to set Max. IVC current.</t>
        </r>
        <r>
          <rPr>
            <sz val="9"/>
            <color indexed="81"/>
            <rFont val="Tahoma"/>
            <family val="2"/>
          </rPr>
          <t xml:space="preserve">
</t>
        </r>
      </text>
    </comment>
    <comment ref="J134" authorId="0">
      <text>
        <r>
          <rPr>
            <b/>
            <sz val="9"/>
            <color indexed="81"/>
            <rFont val="Tahoma"/>
            <family val="2"/>
          </rPr>
          <t>Vf min.max. tolerance is +/-7.5% according to the datasheet.
Min. Vf at 125C is -40%
Max. Vf at 15C is +5%
according to the datasheet.</t>
        </r>
        <r>
          <rPr>
            <sz val="9"/>
            <color indexed="81"/>
            <rFont val="Tahoma"/>
            <family val="2"/>
          </rPr>
          <t xml:space="preserve">
</t>
        </r>
      </text>
    </comment>
    <comment ref="J135" authorId="0">
      <text>
        <r>
          <rPr>
            <b/>
            <sz val="9"/>
            <color indexed="81"/>
            <rFont val="Tahoma"/>
            <family val="2"/>
          </rPr>
          <t>Vf min.max. tolerance is +/-7.5% according to the datasheet.
Min. Vf at 125C is -40%
Max. Vf at 15C is +5%
according to the datasheet.</t>
        </r>
        <r>
          <rPr>
            <sz val="9"/>
            <color indexed="81"/>
            <rFont val="Tahoma"/>
            <family val="2"/>
          </rPr>
          <t xml:space="preserve">
</t>
        </r>
      </text>
    </comment>
    <comment ref="J137" authorId="0">
      <text>
        <r>
          <rPr>
            <b/>
            <sz val="9"/>
            <color indexed="81"/>
            <rFont val="Tahoma"/>
            <family val="2"/>
          </rPr>
          <t>Input current at 
-max. Vin
-180PA
-assuming that OTC is disabled and ICC without min. VHOLD is enabled.</t>
        </r>
        <r>
          <rPr>
            <sz val="9"/>
            <color indexed="81"/>
            <rFont val="Tahoma"/>
            <family val="2"/>
          </rPr>
          <t xml:space="preserve">
</t>
        </r>
      </text>
    </comment>
  </commentList>
</comments>
</file>

<file path=xl/comments4.xml><?xml version="1.0" encoding="utf-8"?>
<comments xmlns="http://schemas.openxmlformats.org/spreadsheetml/2006/main">
  <authors>
    <author>desktop</author>
    <author>snoopy</author>
  </authors>
  <commentList>
    <comment ref="F27" authorId="0">
      <text>
        <r>
          <rPr>
            <b/>
            <sz val="9"/>
            <color indexed="81"/>
            <rFont val="Tahoma"/>
            <family val="2"/>
          </rPr>
          <t>Max. Duty is set between 10~30%.</t>
        </r>
      </text>
    </comment>
    <comment ref="J27" authorId="0">
      <text>
        <r>
          <rPr>
            <b/>
            <sz val="9"/>
            <color indexed="81"/>
            <rFont val="Tahoma"/>
            <family val="2"/>
          </rPr>
          <t xml:space="preserve">In buckboost design, Max. VCS is not set in Feedback Circuit Section.
[Different from flyback design]
For wider DCM region, reduce Max. Duty in Transformer Section.
For more margin in the window area, reduce Max. Duty in Transformer Section.
Max. voltage of switching MOSFET and output diode is fixed.
</t>
        </r>
      </text>
    </comment>
    <comment ref="N27" authorId="0">
      <text>
        <r>
          <rPr>
            <b/>
            <sz val="9"/>
            <color indexed="81"/>
            <rFont val="Tahoma"/>
            <family val="2"/>
          </rPr>
          <t xml:space="preserve">At high-line, RVIN1 is 2 Mohm.
At low-line, RVIN1 is 620 kohm.
</t>
        </r>
      </text>
    </comment>
    <comment ref="F28" authorId="0">
      <text>
        <r>
          <rPr>
            <b/>
            <sz val="9"/>
            <color indexed="81"/>
            <rFont val="Tahoma"/>
            <family val="2"/>
          </rPr>
          <t>Switching frequency at non-dimming mode.
This is generally set around 65 kHz.
In general, conduction EMI becomes better as switching freq. is lower.</t>
        </r>
      </text>
    </comment>
    <comment ref="F29" authorId="0">
      <text>
        <r>
          <rPr>
            <b/>
            <sz val="9"/>
            <color indexed="81"/>
            <rFont val="Tahoma"/>
            <family val="2"/>
          </rPr>
          <t>Max. Ton should be less than 10 us.</t>
        </r>
        <r>
          <rPr>
            <sz val="9"/>
            <color indexed="81"/>
            <rFont val="Tahoma"/>
            <family val="2"/>
          </rPr>
          <t xml:space="preserve">
</t>
        </r>
      </text>
    </comment>
    <comment ref="J29" authorId="0">
      <text>
        <r>
          <rPr>
            <b/>
            <sz val="9"/>
            <color indexed="81"/>
            <rFont val="Tahoma"/>
            <family val="2"/>
          </rPr>
          <t xml:space="preserve">TGATE.OFF.PD is the time from VCS peak to ISW (Switch current) peak.
ISW should be measured at the node between transformer and MOSFET drain.
</t>
        </r>
      </text>
    </comment>
    <comment ref="N29" authorId="0">
      <text>
        <r>
          <rPr>
            <b/>
            <sz val="9"/>
            <color indexed="81"/>
            <rFont val="Tahoma"/>
            <family val="2"/>
          </rPr>
          <t xml:space="preserve">CVIN filters switching noise into VIN pin.
</t>
        </r>
      </text>
    </comment>
    <comment ref="J30" authorId="0">
      <text>
        <r>
          <rPr>
            <b/>
            <sz val="9"/>
            <color indexed="81"/>
            <rFont val="Tahoma"/>
            <family val="2"/>
          </rPr>
          <t xml:space="preserve">RCOMP compensates CC tolerance by line voltage change.
( Line CC tolerance is caused by TGATE.OFF.PD. )
</t>
        </r>
      </text>
    </comment>
    <comment ref="B31" authorId="0">
      <text>
        <r>
          <rPr>
            <b/>
            <sz val="9"/>
            <color indexed="81"/>
            <rFont val="Tahoma"/>
            <family val="2"/>
          </rPr>
          <t>In wide I/O design, min. Vout can be lowered based on Pout.
At high-line, min. Vout can be reduced to "rated Vout x 15W / Pout".
At low-line, min. Vout can be reduced to "rated Vout x 5W / Pout".</t>
        </r>
        <r>
          <rPr>
            <sz val="9"/>
            <color indexed="81"/>
            <rFont val="Tahoma"/>
            <family val="2"/>
          </rPr>
          <t xml:space="preserve">
</t>
        </r>
      </text>
    </comment>
    <comment ref="J31" authorId="0">
      <text>
        <r>
          <rPr>
            <b/>
            <sz val="9"/>
            <color indexed="81"/>
            <rFont val="Tahoma"/>
            <family val="2"/>
          </rPr>
          <t xml:space="preserve">CFB is typically 1 ~ 2.2 uF. Larger CFB makes slower feedback loop.
</t>
        </r>
      </text>
    </comment>
    <comment ref="N31" authorId="0">
      <text>
        <r>
          <rPr>
            <b/>
            <sz val="9"/>
            <color indexed="81"/>
            <rFont val="Tahoma"/>
            <family val="2"/>
          </rPr>
          <t>Total EMI filter capacitor behind the bridge diode.
At wide I/O design, user doesn’t need to use MLCC 
for CIN.TOTAL and CBLEEDER to handle wide input voltage.</t>
        </r>
      </text>
    </comment>
    <comment ref="N32" authorId="0">
      <text>
        <r>
          <rPr>
            <b/>
            <sz val="9"/>
            <color indexed="81"/>
            <rFont val="Tahoma"/>
            <family val="2"/>
          </rPr>
          <t xml:space="preserve">Total bleeder capacitor
[CBLEEDER selection guidance]
- Check input current at firing with leading edge dimmer
- Increase CBLEEDER until input current drop is higher than TRIAC holding current at the firing moment.
</t>
        </r>
      </text>
    </comment>
    <comment ref="B33" authorId="1">
      <text>
        <r>
          <rPr>
            <b/>
            <sz val="9"/>
            <color indexed="81"/>
            <rFont val="Tahoma"/>
            <family val="2"/>
          </rPr>
          <t>Output over voltage protection level. 
When Vout is higher than this level, proteciton will be triggered.</t>
        </r>
        <r>
          <rPr>
            <sz val="9"/>
            <color indexed="81"/>
            <rFont val="Tahoma"/>
            <family val="2"/>
          </rPr>
          <t xml:space="preserve">
</t>
        </r>
      </text>
    </comment>
    <comment ref="N33" authorId="0">
      <text>
        <r>
          <rPr>
            <b/>
            <sz val="9"/>
            <color indexed="81"/>
            <rFont val="Tahoma"/>
            <family val="2"/>
          </rPr>
          <t xml:space="preserve">[RBLEEDER selection guidance]
- Test condition : Max./Half/Min. phase angle
 Probe both input current and RBLEEDER current.
 Find RBLEEDER value which minimizes input current drop at firing.
</t>
        </r>
      </text>
    </comment>
    <comment ref="F34" authorId="0">
      <text>
        <r>
          <rPr>
            <b/>
            <sz val="9"/>
            <color indexed="81"/>
            <rFont val="Tahoma"/>
            <family val="2"/>
          </rPr>
          <t>Enter NP higher than Min. NP.</t>
        </r>
      </text>
    </comment>
    <comment ref="J34" authorId="0">
      <text>
        <r>
          <rPr>
            <b/>
            <sz val="9"/>
            <color indexed="81"/>
            <rFont val="Tahoma"/>
            <family val="2"/>
          </rPr>
          <t xml:space="preserve">CVS relieves voltage spike at gate-off.
Increase CVS until VS voltage at 1.5 us after gate-off is flat.
</t>
        </r>
      </text>
    </comment>
    <comment ref="N35" authorId="0">
      <text>
        <r>
          <rPr>
            <b/>
            <sz val="9"/>
            <color indexed="81"/>
            <rFont val="Tahoma"/>
            <family val="2"/>
          </rPr>
          <t xml:space="preserve">At wide I/O design, RRBLD selection is more flexible and 
user can increase RRBLD to reduce bleeding current 
if bleeding switch is too hot. 
Once increasing RRBLD, Max. IBLD (upper limit) will be reduced 
and RMBLD will be larger.
</t>
        </r>
      </text>
    </comment>
    <comment ref="B37" authorId="0">
      <text>
        <r>
          <rPr>
            <b/>
            <sz val="9"/>
            <color indexed="81"/>
            <rFont val="Tahoma"/>
            <family val="2"/>
          </rPr>
          <t>Output current is constantly regulated 
from CC (Constant Current) phase angle to 180º.
CC phase angle is normally 130º.</t>
        </r>
      </text>
    </comment>
    <comment ref="J37" authorId="0">
      <text>
        <r>
          <rPr>
            <b/>
            <sz val="9"/>
            <color indexed="81"/>
            <rFont val="Tahoma"/>
            <family val="2"/>
          </rPr>
          <t xml:space="preserve">In general, CHOLD is 1 ~ 5 nF.
Large CHOLD has pros and cons.
Pros : can remove LED shimmer if there is.
Cons : input current at firing drops which can cause TRIAC mis-firing with flicker.
How to select CHOLD.
1. Select the worst dimmer which has the highest holding current in user’s dimmer list.
2. Increase CHOLD until input current drop at firing is not lower than TRIAC holding current. 
(The test condition should be max. and min. phase angle, in which input current drop is the lowest.)
</t>
        </r>
      </text>
    </comment>
    <comment ref="N37" authorId="0">
      <text>
        <r>
          <rPr>
            <b/>
            <sz val="9"/>
            <color indexed="81"/>
            <rFont val="Tahoma"/>
            <family val="2"/>
          </rPr>
          <t>Max. bleeding current : Bleeding current during startup sequence and phase-cut time.
Select this value lower than Max. IBLD upper limit.
Higher Max. IBLD can have more margin to maintain input current higher than holding current during startup sequence.
Lower Max. IBLD can reduce the SWBLD temperature during startup sequence and AR time.</t>
        </r>
      </text>
    </comment>
    <comment ref="B39" authorId="0">
      <text>
        <r>
          <rPr>
            <b/>
            <sz val="9"/>
            <color indexed="81"/>
            <rFont val="Tahoma"/>
            <family val="2"/>
          </rPr>
          <t>Enter IHOLD (selected) close to IHOLD (recommended).
The FL7734 system will be compatible with dimmers 
which have lower holding current than IHOLD (selected).
In wide I/O design, IHOLD (selected) could be determined 
higher than IHOLD (recommended).
But, it will reduce dimming range.</t>
        </r>
      </text>
    </comment>
    <comment ref="N40" authorId="0">
      <text>
        <r>
          <rPr>
            <b/>
            <sz val="9"/>
            <color indexed="81"/>
            <rFont val="Tahoma"/>
            <family val="2"/>
          </rPr>
          <t>RVDD1 dampens leading edge spike noise into VDD pin.
100 ohm is recommended at high-line and 50 ohm is recommended at low-line.</t>
        </r>
        <r>
          <rPr>
            <sz val="9"/>
            <color indexed="81"/>
            <rFont val="Tahoma"/>
            <family val="2"/>
          </rPr>
          <t xml:space="preserve">
</t>
        </r>
      </text>
    </comment>
    <comment ref="J41" authorId="0">
      <text>
        <r>
          <rPr>
            <b/>
            <sz val="9"/>
            <color indexed="81"/>
            <rFont val="Tahoma"/>
            <family val="2"/>
          </rPr>
          <t>[Yield and temperature tolerance]
-RDIM1 and RDIM2 tolerance should be less than +/- 1%.
[ RDIM2/(RDIM1+RDIM2) (=rDIM) selection]
*Max. rDIM limit
At wide I/O design, calculated rDIM is low enough and 
FB is hardly clamped by MOD at max. phase angle condition.
Therefore, user doesn’t need to check FB clamping like wide dimming design.
*Min. rDIM limit
-At wide I/O design, there is no output current oscillation with periodic visible flicker.
-Therefore, user doesn’t need to check periodic visible flicker like wide dimming design.</t>
        </r>
      </text>
    </comment>
    <comment ref="N41" authorId="0">
      <text>
        <r>
          <rPr>
            <b/>
            <sz val="9"/>
            <color indexed="81"/>
            <rFont val="Tahoma"/>
            <family val="2"/>
          </rPr>
          <t xml:space="preserve">CIN2 is total EMI filter capacitor directly connected to transformer.
</t>
        </r>
      </text>
    </comment>
    <comment ref="J42" authorId="0">
      <text>
        <r>
          <rPr>
            <b/>
            <sz val="9"/>
            <color indexed="81"/>
            <rFont val="Tahoma"/>
            <family val="2"/>
          </rPr>
          <t>[Yield and temperature tolerance]
-RDIM1 and RDIM2 tolerance should be less than +/- 1%.
[ RDIM2/(RDIM1+RDIM2) (=rDIM) selection]
*Max. rDIM limit
At wide I/O design, calculated rDIM is low enough and 
FB is hardly clamped by MOD at max. phase angle condition.
Therefore, user doesn’t need to check FB clamping like wide dimming design.
*Min. rDIM limit
-At wide I/O design, there is no output current oscillation with periodic visible flicker.
-Therefore, user doesn’t need to check periodic visible flicker like wide dimming design.</t>
        </r>
      </text>
    </comment>
    <comment ref="N42" authorId="0">
      <text>
        <r>
          <rPr>
            <b/>
            <sz val="9"/>
            <color indexed="81"/>
            <rFont val="Tahoma"/>
            <family val="2"/>
          </rPr>
          <t xml:space="preserve">SRSP (sensing resistor short protection) is triggered 
when CS voltage is less than 0.1 V at first and second switching.
When Lm is highly designed, SRSP could be abnormally triggered 
due to low CS peak voltage.
ROFFSET can protect system from abnormally triggered SRSP 
by building voltage offset on RCOMP.
If CS peak is much higher than 0.1 V with small Lm, 
“open” message will appear and user doesn’t need to add ROFFSET.
</t>
        </r>
      </text>
    </comment>
    <comment ref="N44" authorId="0">
      <text>
        <r>
          <rPr>
            <b/>
            <sz val="9"/>
            <color indexed="81"/>
            <rFont val="Tahoma"/>
            <family val="2"/>
          </rPr>
          <t xml:space="preserve">At high-line, RBIAS1 is 2 Mohm.
At low-line, RBIAS1 is 620 kohm.
</t>
        </r>
      </text>
    </comment>
    <comment ref="N45" authorId="0">
      <text>
        <r>
          <rPr>
            <b/>
            <sz val="9"/>
            <color indexed="81"/>
            <rFont val="Tahoma"/>
            <family val="2"/>
          </rPr>
          <t xml:space="preserve">RBIAS2 protects BIAS pin from leading edge spike.
At leading edge, SWBLD Crss is quickly charged and the charging current spike could damage BIAS pin due to the over voltage.
RBIAS2 is generally 1kohm. 
When RBIAS2 is too small, the current spike at leading edge will affect the BIAS.
When RBIAS2 is too big, SWBLD current regulation is unstable.
</t>
        </r>
      </text>
    </comment>
    <comment ref="N46" authorId="0">
      <text>
        <r>
          <rPr>
            <b/>
            <sz val="9"/>
            <color indexed="81"/>
            <rFont val="Tahoma"/>
            <family val="2"/>
          </rPr>
          <t>CBIAS is generally 6.8 nF.
CBIAS protects BIAS pin from leading edge spike.</t>
        </r>
      </text>
    </comment>
    <comment ref="N97" authorId="0">
      <text>
        <r>
          <rPr>
            <b/>
            <sz val="9"/>
            <color indexed="81"/>
            <rFont val="Tahoma"/>
            <family val="2"/>
          </rPr>
          <t>This value is generated by IVC optimization testing.</t>
        </r>
        <r>
          <rPr>
            <sz val="9"/>
            <color indexed="81"/>
            <rFont val="Tahoma"/>
            <family val="2"/>
          </rPr>
          <t xml:space="preserve">
</t>
        </r>
      </text>
    </comment>
    <comment ref="J99" authorId="0">
      <text>
        <r>
          <rPr>
            <b/>
            <sz val="9"/>
            <color indexed="81"/>
            <rFont val="Tahoma"/>
            <family val="2"/>
          </rPr>
          <t xml:space="preserve">VS.OVP = 2.9/3.0/3.1 V </t>
        </r>
        <r>
          <rPr>
            <sz val="9"/>
            <color indexed="81"/>
            <rFont val="Tahoma"/>
            <family val="2"/>
          </rPr>
          <t xml:space="preserve">
</t>
        </r>
      </text>
    </comment>
    <comment ref="J101" authorId="0">
      <text>
        <r>
          <rPr>
            <b/>
            <sz val="9"/>
            <color indexed="81"/>
            <rFont val="Tahoma"/>
            <family val="2"/>
          </rPr>
          <t>Ivs.bnk spec : 67/80/93 uA</t>
        </r>
        <r>
          <rPr>
            <sz val="9"/>
            <color indexed="81"/>
            <rFont val="Tahoma"/>
            <family val="2"/>
          </rPr>
          <t xml:space="preserve">
</t>
        </r>
      </text>
    </comment>
    <comment ref="N103" authorId="0">
      <text>
        <r>
          <rPr>
            <b/>
            <sz val="9"/>
            <color indexed="81"/>
            <rFont val="Tahoma"/>
            <family val="2"/>
          </rPr>
          <t>Target peak Vin for IVC optimization.</t>
        </r>
        <r>
          <rPr>
            <sz val="9"/>
            <color indexed="81"/>
            <rFont val="Tahoma"/>
            <family val="2"/>
          </rPr>
          <t xml:space="preserve">
</t>
        </r>
      </text>
    </comment>
    <comment ref="N104" authorId="0">
      <text>
        <r>
          <rPr>
            <b/>
            <sz val="9"/>
            <color indexed="81"/>
            <rFont val="Tahoma"/>
            <family val="2"/>
          </rPr>
          <t>Angle to start IVC shaping
0 ~ 90 degree
0 degree means that IVC start from peak.</t>
        </r>
        <r>
          <rPr>
            <sz val="9"/>
            <color indexed="81"/>
            <rFont val="Tahoma"/>
            <family val="2"/>
          </rPr>
          <t xml:space="preserve">
</t>
        </r>
      </text>
    </comment>
    <comment ref="N106" authorId="0">
      <text>
        <r>
          <rPr>
            <b/>
            <sz val="9"/>
            <color indexed="81"/>
            <rFont val="Tahoma"/>
            <family val="2"/>
          </rPr>
          <t>Time to start IVC shaping</t>
        </r>
        <r>
          <rPr>
            <sz val="9"/>
            <color indexed="81"/>
            <rFont val="Tahoma"/>
            <family val="2"/>
          </rPr>
          <t xml:space="preserve">
</t>
        </r>
      </text>
    </comment>
    <comment ref="F107" authorId="0">
      <text>
        <r>
          <rPr>
            <b/>
            <sz val="9"/>
            <color indexed="81"/>
            <rFont val="Tahoma"/>
            <family val="2"/>
          </rPr>
          <t>(Ipk.ND.DCM vs Ipk.D.DCM)
Ipk at dim &gt; Ipk at non-dim when Ihold is high.
Ipk at dim &lt; Ipk at non-dim when Ihold is low.</t>
        </r>
      </text>
    </comment>
    <comment ref="N107" authorId="0">
      <text>
        <r>
          <rPr>
            <b/>
            <sz val="9"/>
            <color indexed="81"/>
            <rFont val="Tahoma"/>
            <family val="2"/>
          </rPr>
          <t>Time to stop IVC shaping</t>
        </r>
        <r>
          <rPr>
            <sz val="9"/>
            <color indexed="81"/>
            <rFont val="Tahoma"/>
            <family val="2"/>
          </rPr>
          <t xml:space="preserve">
</t>
        </r>
      </text>
    </comment>
    <comment ref="N109" authorId="0">
      <text>
        <r>
          <rPr>
            <b/>
            <sz val="9"/>
            <color indexed="81"/>
            <rFont val="Tahoma"/>
            <family val="2"/>
          </rPr>
          <t>Time to start 0.5V RIVC clamping</t>
        </r>
        <r>
          <rPr>
            <sz val="9"/>
            <color indexed="81"/>
            <rFont val="Tahoma"/>
            <family val="2"/>
          </rPr>
          <t xml:space="preserve">
</t>
        </r>
      </text>
    </comment>
    <comment ref="J113" authorId="0">
      <text>
        <r>
          <rPr>
            <b/>
            <sz val="9"/>
            <color indexed="81"/>
            <rFont val="Tahoma"/>
            <family val="2"/>
          </rPr>
          <t>Measured at room temp.
0.4V at both conditions
- Ricc1[20k], Ricc2[40k]
- Ricc1[5k], Ricc2[10k]
- room temp.</t>
        </r>
        <r>
          <rPr>
            <sz val="9"/>
            <color indexed="81"/>
            <rFont val="Tahoma"/>
            <family val="2"/>
          </rPr>
          <t xml:space="preserve">
</t>
        </r>
      </text>
    </comment>
    <comment ref="J114" authorId="0">
      <text>
        <r>
          <rPr>
            <b/>
            <sz val="9"/>
            <color indexed="81"/>
            <rFont val="Tahoma"/>
            <family val="2"/>
          </rPr>
          <t>Vf min.max. tolerance is +/-7.5% according to the datasheet.</t>
        </r>
        <r>
          <rPr>
            <sz val="9"/>
            <color indexed="81"/>
            <rFont val="Tahoma"/>
            <family val="2"/>
          </rPr>
          <t xml:space="preserve">
</t>
        </r>
      </text>
    </comment>
    <comment ref="J115" authorId="0">
      <text>
        <r>
          <rPr>
            <b/>
            <sz val="9"/>
            <color indexed="81"/>
            <rFont val="Tahoma"/>
            <family val="2"/>
          </rPr>
          <t>Vf min.max. tolerance is +/-7.5% according to the datasheet.</t>
        </r>
        <r>
          <rPr>
            <sz val="9"/>
            <color indexed="81"/>
            <rFont val="Tahoma"/>
            <family val="2"/>
          </rPr>
          <t xml:space="preserve">
</t>
        </r>
      </text>
    </comment>
    <comment ref="J116" authorId="0">
      <text>
        <r>
          <rPr>
            <b/>
            <sz val="9"/>
            <color indexed="81"/>
            <rFont val="Tahoma"/>
            <family val="2"/>
          </rPr>
          <t>Vf min.max. tolerance is +/-7.5% according to the datasheet.
Min. Vf at 125C is -40%
Max. Vf at 15C is +5%
according to the datasheet.</t>
        </r>
        <r>
          <rPr>
            <sz val="9"/>
            <color indexed="81"/>
            <rFont val="Tahoma"/>
            <family val="2"/>
          </rPr>
          <t xml:space="preserve">
</t>
        </r>
      </text>
    </comment>
    <comment ref="N116" authorId="0">
      <text>
        <r>
          <rPr>
            <b/>
            <sz val="9"/>
            <color indexed="81"/>
            <rFont val="Tahoma"/>
            <family val="2"/>
          </rPr>
          <t>Cbleeder and Cin.total discharge current near line voltage zero crossing.
Those input capacitors are charged and discharged 
as the voltage across those capacitors are increased and decreased.
The max. discharging current is calculated to set Max. IVC current.</t>
        </r>
        <r>
          <rPr>
            <sz val="9"/>
            <color indexed="81"/>
            <rFont val="Tahoma"/>
            <family val="2"/>
          </rPr>
          <t xml:space="preserve">
</t>
        </r>
      </text>
    </comment>
    <comment ref="J117" authorId="0">
      <text>
        <r>
          <rPr>
            <b/>
            <sz val="9"/>
            <color indexed="81"/>
            <rFont val="Tahoma"/>
            <family val="2"/>
          </rPr>
          <t>Vf min.max. tolerance is +/-7.5% according to the datasheet.
Min. Vf at 125C is -40%
Max. Vf at 15C is +5%
according to the datasheet.</t>
        </r>
        <r>
          <rPr>
            <sz val="9"/>
            <color indexed="81"/>
            <rFont val="Tahoma"/>
            <family val="2"/>
          </rPr>
          <t xml:space="preserve">
</t>
        </r>
      </text>
    </comment>
    <comment ref="J119" authorId="0">
      <text>
        <r>
          <rPr>
            <b/>
            <sz val="9"/>
            <color indexed="81"/>
            <rFont val="Tahoma"/>
            <family val="2"/>
          </rPr>
          <t>Input current at 
-max. Vin
-180PA
-assuming that OTC is disabled and ICC without min. VHOLD is enabled.</t>
        </r>
        <r>
          <rPr>
            <sz val="9"/>
            <color indexed="81"/>
            <rFont val="Tahoma"/>
            <family val="2"/>
          </rPr>
          <t xml:space="preserve">
</t>
        </r>
      </text>
    </comment>
  </commentList>
</comments>
</file>

<file path=xl/sharedStrings.xml><?xml version="1.0" encoding="utf-8"?>
<sst xmlns="http://schemas.openxmlformats.org/spreadsheetml/2006/main" count="1566" uniqueCount="456">
  <si>
    <t>Input spec</t>
    <phoneticPr fontId="1" type="noConversion"/>
  </si>
  <si>
    <t>Transformer design</t>
    <phoneticPr fontId="1" type="noConversion"/>
  </si>
  <si>
    <t>VIN circuit calculation</t>
    <phoneticPr fontId="1" type="noConversion"/>
  </si>
  <si>
    <t>peak Vin at min. Vin</t>
    <phoneticPr fontId="1" type="noConversion"/>
  </si>
  <si>
    <t>V</t>
    <phoneticPr fontId="1" type="noConversion"/>
  </si>
  <si>
    <t>Hz</t>
    <phoneticPr fontId="1" type="noConversion"/>
  </si>
  <si>
    <t>Ω</t>
    <phoneticPr fontId="1" type="noConversion"/>
  </si>
  <si>
    <t>A</t>
    <phoneticPr fontId="1" type="noConversion"/>
  </si>
  <si>
    <t>peak Vin</t>
    <phoneticPr fontId="1" type="noConversion"/>
  </si>
  <si>
    <t>Lm</t>
    <phoneticPr fontId="1" type="noConversion"/>
  </si>
  <si>
    <t>H</t>
    <phoneticPr fontId="1" type="noConversion"/>
  </si>
  <si>
    <t>Rvin2</t>
    <phoneticPr fontId="1" type="noConversion"/>
  </si>
  <si>
    <t>F</t>
    <phoneticPr fontId="1" type="noConversion"/>
  </si>
  <si>
    <t>peak Vin at max. Vin</t>
    <phoneticPr fontId="1" type="noConversion"/>
  </si>
  <si>
    <t>Max. Ton at non-dim</t>
    <phoneticPr fontId="1" type="noConversion"/>
  </si>
  <si>
    <t>s</t>
    <phoneticPr fontId="1" type="noConversion"/>
  </si>
  <si>
    <t>DIM circuit calculation</t>
    <phoneticPr fontId="1" type="noConversion"/>
  </si>
  <si>
    <t>Half line period</t>
    <phoneticPr fontId="1" type="noConversion"/>
  </si>
  <si>
    <t>Cdim</t>
    <phoneticPr fontId="1" type="noConversion"/>
  </si>
  <si>
    <t>Rated Iout</t>
    <phoneticPr fontId="1" type="noConversion"/>
  </si>
  <si>
    <t>Efficiency</t>
    <phoneticPr fontId="1" type="noConversion"/>
  </si>
  <si>
    <t>Pin</t>
    <phoneticPr fontId="1" type="noConversion"/>
  </si>
  <si>
    <t>W</t>
    <phoneticPr fontId="1" type="noConversion"/>
  </si>
  <si>
    <t>Ipk at dim (DCM)</t>
    <phoneticPr fontId="1" type="noConversion"/>
  </si>
  <si>
    <t>Ipk at dim (BCM)</t>
    <phoneticPr fontId="1" type="noConversion"/>
  </si>
  <si>
    <t>Ton at dim (BCM)</t>
    <phoneticPr fontId="1" type="noConversion"/>
  </si>
  <si>
    <t>Ts at dim (BCM)</t>
    <phoneticPr fontId="1" type="noConversion"/>
  </si>
  <si>
    <t>Freq at dim (BCM)</t>
    <phoneticPr fontId="1" type="noConversion"/>
  </si>
  <si>
    <t xml:space="preserve">Ipk.max.final </t>
    <phoneticPr fontId="1" type="noConversion"/>
  </si>
  <si>
    <t>Ae</t>
    <phoneticPr fontId="1" type="noConversion"/>
  </si>
  <si>
    <t>KEAI</t>
    <phoneticPr fontId="1" type="noConversion"/>
  </si>
  <si>
    <t>Vref</t>
    <phoneticPr fontId="1" type="noConversion"/>
  </si>
  <si>
    <t>HOLD circuit calculation</t>
    <phoneticPr fontId="1" type="noConversion"/>
  </si>
  <si>
    <t>Feedback calculation</t>
    <phoneticPr fontId="1" type="noConversion"/>
  </si>
  <si>
    <t>KICC.HOLD</t>
    <phoneticPr fontId="1" type="noConversion"/>
  </si>
  <si>
    <t>Vvs.ovp</t>
    <phoneticPr fontId="1" type="noConversion"/>
  </si>
  <si>
    <t>Vf</t>
    <phoneticPr fontId="1" type="noConversion"/>
  </si>
  <si>
    <t>TOP circuit calculation</t>
    <phoneticPr fontId="1" type="noConversion"/>
  </si>
  <si>
    <t>Ivs.bnk</t>
    <phoneticPr fontId="1" type="noConversion"/>
  </si>
  <si>
    <t>Rvs1</t>
    <phoneticPr fontId="1" type="noConversion"/>
  </si>
  <si>
    <t>Ctop</t>
    <phoneticPr fontId="1" type="noConversion"/>
  </si>
  <si>
    <t>Rvs2</t>
    <phoneticPr fontId="1" type="noConversion"/>
  </si>
  <si>
    <t>Tdis.max</t>
    <phoneticPr fontId="1" type="noConversion"/>
  </si>
  <si>
    <t>Transformer Design</t>
    <phoneticPr fontId="1" type="noConversion"/>
  </si>
  <si>
    <t>VIN Circuit</t>
    <phoneticPr fontId="1" type="noConversion"/>
  </si>
  <si>
    <r>
      <t>Min. V</t>
    </r>
    <r>
      <rPr>
        <b/>
        <vertAlign val="subscript"/>
        <sz val="10"/>
        <color theme="1"/>
        <rFont val="Calibri"/>
        <family val="3"/>
        <charset val="129"/>
        <scheme val="minor"/>
      </rPr>
      <t>IN</t>
    </r>
    <phoneticPr fontId="1" type="noConversion"/>
  </si>
  <si>
    <t>Max. Duty</t>
    <phoneticPr fontId="1" type="noConversion"/>
  </si>
  <si>
    <t>%</t>
    <phoneticPr fontId="1" type="noConversion"/>
  </si>
  <si>
    <t>MΩ</t>
    <phoneticPr fontId="1" type="noConversion"/>
  </si>
  <si>
    <r>
      <t>Rated V</t>
    </r>
    <r>
      <rPr>
        <b/>
        <vertAlign val="subscript"/>
        <sz val="10"/>
        <color theme="1"/>
        <rFont val="Calibri"/>
        <family val="3"/>
        <charset val="129"/>
        <scheme val="minor"/>
      </rPr>
      <t>IN</t>
    </r>
    <phoneticPr fontId="1" type="noConversion"/>
  </si>
  <si>
    <t>Switching freq.</t>
    <phoneticPr fontId="1" type="noConversion"/>
  </si>
  <si>
    <t>kHz</t>
    <phoneticPr fontId="1" type="noConversion"/>
  </si>
  <si>
    <r>
      <t>R</t>
    </r>
    <r>
      <rPr>
        <b/>
        <vertAlign val="subscript"/>
        <sz val="10"/>
        <color theme="1"/>
        <rFont val="Calibri"/>
        <family val="3"/>
        <charset val="129"/>
        <scheme val="minor"/>
      </rPr>
      <t>VIN2</t>
    </r>
    <phoneticPr fontId="1" type="noConversion"/>
  </si>
  <si>
    <t>kΩ</t>
    <phoneticPr fontId="1" type="noConversion"/>
  </si>
  <si>
    <r>
      <t>Max. V</t>
    </r>
    <r>
      <rPr>
        <b/>
        <vertAlign val="subscript"/>
        <sz val="10"/>
        <color theme="1"/>
        <rFont val="Calibri"/>
        <family val="3"/>
        <charset val="129"/>
        <scheme val="minor"/>
      </rPr>
      <t>IN</t>
    </r>
    <phoneticPr fontId="1" type="noConversion"/>
  </si>
  <si>
    <t>Max. Ton</t>
    <phoneticPr fontId="1" type="noConversion"/>
  </si>
  <si>
    <t>us</t>
    <phoneticPr fontId="1" type="noConversion"/>
  </si>
  <si>
    <t>Line freq.</t>
    <phoneticPr fontId="1" type="noConversion"/>
  </si>
  <si>
    <r>
      <t>mm</t>
    </r>
    <r>
      <rPr>
        <b/>
        <vertAlign val="superscript"/>
        <sz val="10"/>
        <color theme="1"/>
        <rFont val="Calibri"/>
        <family val="3"/>
        <charset val="129"/>
        <scheme val="minor"/>
      </rPr>
      <t>2</t>
    </r>
    <phoneticPr fontId="1" type="noConversion"/>
  </si>
  <si>
    <t>DIM Circuit</t>
    <phoneticPr fontId="1" type="noConversion"/>
  </si>
  <si>
    <r>
      <t>Min. V</t>
    </r>
    <r>
      <rPr>
        <b/>
        <vertAlign val="subscript"/>
        <sz val="10"/>
        <color theme="1"/>
        <rFont val="Calibri"/>
        <family val="3"/>
        <charset val="129"/>
        <scheme val="minor"/>
      </rPr>
      <t>OUT</t>
    </r>
    <phoneticPr fontId="1" type="noConversion"/>
  </si>
  <si>
    <r>
      <t>B</t>
    </r>
    <r>
      <rPr>
        <b/>
        <vertAlign val="subscript"/>
        <sz val="10"/>
        <color theme="1"/>
        <rFont val="Calibri"/>
        <family val="3"/>
        <charset val="129"/>
        <scheme val="minor"/>
      </rPr>
      <t>MAX</t>
    </r>
    <phoneticPr fontId="1" type="noConversion"/>
  </si>
  <si>
    <r>
      <t>Rated V</t>
    </r>
    <r>
      <rPr>
        <b/>
        <vertAlign val="subscript"/>
        <sz val="10"/>
        <color theme="1"/>
        <rFont val="Calibri"/>
        <family val="3"/>
        <charset val="129"/>
        <scheme val="minor"/>
      </rPr>
      <t>OUT</t>
    </r>
    <phoneticPr fontId="1" type="noConversion"/>
  </si>
  <si>
    <r>
      <t>L</t>
    </r>
    <r>
      <rPr>
        <b/>
        <vertAlign val="subscript"/>
        <sz val="10"/>
        <color theme="1"/>
        <rFont val="Calibri"/>
        <family val="3"/>
        <charset val="129"/>
        <scheme val="minor"/>
      </rPr>
      <t>M</t>
    </r>
    <phoneticPr fontId="1" type="noConversion"/>
  </si>
  <si>
    <t>mH</t>
    <phoneticPr fontId="1" type="noConversion"/>
  </si>
  <si>
    <r>
      <t>C</t>
    </r>
    <r>
      <rPr>
        <b/>
        <vertAlign val="subscript"/>
        <sz val="10"/>
        <color theme="1"/>
        <rFont val="Calibri"/>
        <family val="3"/>
        <charset val="129"/>
        <scheme val="minor"/>
      </rPr>
      <t>DIM</t>
    </r>
    <phoneticPr fontId="1" type="noConversion"/>
  </si>
  <si>
    <t>nF</t>
    <phoneticPr fontId="1" type="noConversion"/>
  </si>
  <si>
    <r>
      <t>Max. V</t>
    </r>
    <r>
      <rPr>
        <b/>
        <vertAlign val="subscript"/>
        <sz val="10"/>
        <color theme="1"/>
        <rFont val="Calibri"/>
        <family val="3"/>
        <charset val="129"/>
        <scheme val="minor"/>
      </rPr>
      <t>OUT</t>
    </r>
    <phoneticPr fontId="1" type="noConversion"/>
  </si>
  <si>
    <r>
      <t>Rated I</t>
    </r>
    <r>
      <rPr>
        <b/>
        <vertAlign val="subscript"/>
        <sz val="10"/>
        <color theme="1"/>
        <rFont val="Calibri"/>
        <family val="3"/>
        <charset val="129"/>
        <scheme val="minor"/>
      </rPr>
      <t>OUT</t>
    </r>
    <phoneticPr fontId="1" type="noConversion"/>
  </si>
  <si>
    <t>mA</t>
    <phoneticPr fontId="1" type="noConversion"/>
  </si>
  <si>
    <r>
      <t>P</t>
    </r>
    <r>
      <rPr>
        <b/>
        <vertAlign val="subscript"/>
        <sz val="10"/>
        <color theme="1"/>
        <rFont val="Calibri"/>
        <family val="3"/>
        <charset val="129"/>
        <scheme val="minor"/>
      </rPr>
      <t>OUT</t>
    </r>
    <phoneticPr fontId="1" type="noConversion"/>
  </si>
  <si>
    <t>Dimmer Spec</t>
    <phoneticPr fontId="1" type="noConversion"/>
  </si>
  <si>
    <r>
      <t>Min. N</t>
    </r>
    <r>
      <rPr>
        <b/>
        <vertAlign val="subscript"/>
        <sz val="10"/>
        <color theme="1"/>
        <rFont val="Calibri"/>
        <family val="3"/>
        <charset val="129"/>
        <scheme val="minor"/>
      </rPr>
      <t>P</t>
    </r>
    <phoneticPr fontId="1" type="noConversion"/>
  </si>
  <si>
    <t>T</t>
    <phoneticPr fontId="1" type="noConversion"/>
  </si>
  <si>
    <t>HOLD Circuit</t>
    <phoneticPr fontId="1" type="noConversion"/>
  </si>
  <si>
    <t>°</t>
    <phoneticPr fontId="1" type="noConversion"/>
  </si>
  <si>
    <t>Feedback Circuit</t>
    <phoneticPr fontId="1" type="noConversion"/>
  </si>
  <si>
    <r>
      <t>R</t>
    </r>
    <r>
      <rPr>
        <b/>
        <vertAlign val="subscript"/>
        <sz val="10"/>
        <color theme="1"/>
        <rFont val="Calibri"/>
        <family val="3"/>
        <charset val="129"/>
        <scheme val="minor"/>
      </rPr>
      <t>CS</t>
    </r>
    <phoneticPr fontId="1" type="noConversion"/>
  </si>
  <si>
    <r>
      <t>C</t>
    </r>
    <r>
      <rPr>
        <b/>
        <vertAlign val="subscript"/>
        <sz val="10"/>
        <color theme="1"/>
        <rFont val="Calibri"/>
        <family val="3"/>
        <charset val="129"/>
        <scheme val="minor"/>
      </rPr>
      <t>FB</t>
    </r>
    <phoneticPr fontId="1" type="noConversion"/>
  </si>
  <si>
    <t>uF</t>
    <phoneticPr fontId="1" type="noConversion"/>
  </si>
  <si>
    <r>
      <t>C</t>
    </r>
    <r>
      <rPr>
        <b/>
        <vertAlign val="subscript"/>
        <sz val="10"/>
        <color theme="1"/>
        <rFont val="Calibri"/>
        <family val="3"/>
        <charset val="129"/>
        <scheme val="minor"/>
      </rPr>
      <t>BLEEDER</t>
    </r>
    <phoneticPr fontId="1" type="noConversion"/>
  </si>
  <si>
    <r>
      <t>R</t>
    </r>
    <r>
      <rPr>
        <b/>
        <vertAlign val="subscript"/>
        <sz val="10"/>
        <color theme="1"/>
        <rFont val="Calibri"/>
        <family val="3"/>
        <charset val="129"/>
        <scheme val="minor"/>
      </rPr>
      <t>VS1</t>
    </r>
    <phoneticPr fontId="1" type="noConversion"/>
  </si>
  <si>
    <r>
      <t>R</t>
    </r>
    <r>
      <rPr>
        <b/>
        <vertAlign val="subscript"/>
        <sz val="10"/>
        <color theme="1"/>
        <rFont val="Calibri"/>
        <family val="3"/>
        <charset val="129"/>
        <scheme val="minor"/>
      </rPr>
      <t>VS2</t>
    </r>
    <phoneticPr fontId="1" type="noConversion"/>
  </si>
  <si>
    <t>ITOP</t>
    <phoneticPr fontId="1" type="noConversion"/>
  </si>
  <si>
    <t>Ipk.max (DCM)</t>
    <phoneticPr fontId="1" type="noConversion"/>
  </si>
  <si>
    <t>Dimmer spec</t>
    <phoneticPr fontId="1" type="noConversion"/>
  </si>
  <si>
    <t>Switching freq. (ND)</t>
    <phoneticPr fontId="1" type="noConversion"/>
  </si>
  <si>
    <t>Switching period (ND)</t>
    <phoneticPr fontId="1" type="noConversion"/>
  </si>
  <si>
    <t>Switching freq. (D)</t>
    <phoneticPr fontId="1" type="noConversion"/>
  </si>
  <si>
    <t>Switching period (D)</t>
    <phoneticPr fontId="1" type="noConversion"/>
  </si>
  <si>
    <t>Ipk at non-dim (DCM)</t>
    <phoneticPr fontId="1" type="noConversion"/>
  </si>
  <si>
    <t>Ipk.max(DCM)</t>
    <phoneticPr fontId="1" type="noConversion"/>
  </si>
  <si>
    <t>center Vin peak</t>
    <phoneticPr fontId="1" type="noConversion"/>
  </si>
  <si>
    <t>Peak VIN at center Vin</t>
    <phoneticPr fontId="1" type="noConversion"/>
  </si>
  <si>
    <t>Rdim.total</t>
    <phoneticPr fontId="1" type="noConversion"/>
  </si>
  <si>
    <r>
      <t>R</t>
    </r>
    <r>
      <rPr>
        <b/>
        <vertAlign val="subscript"/>
        <sz val="10"/>
        <color theme="1"/>
        <rFont val="Calibri"/>
        <family val="3"/>
        <charset val="129"/>
        <scheme val="minor"/>
      </rPr>
      <t>DIM1</t>
    </r>
    <phoneticPr fontId="1" type="noConversion"/>
  </si>
  <si>
    <r>
      <t>R</t>
    </r>
    <r>
      <rPr>
        <b/>
        <vertAlign val="subscript"/>
        <sz val="10"/>
        <color theme="1"/>
        <rFont val="Calibri"/>
        <family val="3"/>
        <charset val="129"/>
        <scheme val="minor"/>
      </rPr>
      <t>DIM2</t>
    </r>
    <phoneticPr fontId="1" type="noConversion"/>
  </si>
  <si>
    <r>
      <t>C</t>
    </r>
    <r>
      <rPr>
        <b/>
        <vertAlign val="subscript"/>
        <sz val="10"/>
        <color theme="1"/>
        <rFont val="Calibri"/>
        <family val="3"/>
        <charset val="129"/>
        <scheme val="minor"/>
      </rPr>
      <t>IN.TOTAL</t>
    </r>
    <phoneticPr fontId="1" type="noConversion"/>
  </si>
  <si>
    <t>Ctotal</t>
    <phoneticPr fontId="1" type="noConversion"/>
  </si>
  <si>
    <t>Ton.min</t>
    <phoneticPr fontId="1" type="noConversion"/>
  </si>
  <si>
    <t>IVC circuit calculation</t>
    <phoneticPr fontId="1" type="noConversion"/>
  </si>
  <si>
    <t>MIVC circuit calculation</t>
    <phoneticPr fontId="1" type="noConversion"/>
  </si>
  <si>
    <t>Max IVC current</t>
    <phoneticPr fontId="1" type="noConversion"/>
  </si>
  <si>
    <t>Rfly</t>
    <phoneticPr fontId="1" type="noConversion"/>
  </si>
  <si>
    <t>°</t>
    <phoneticPr fontId="1" type="noConversion"/>
  </si>
  <si>
    <t>A.ivc.start</t>
    <phoneticPr fontId="1" type="noConversion"/>
  </si>
  <si>
    <t>T.ivc.start</t>
    <phoneticPr fontId="1" type="noConversion"/>
  </si>
  <si>
    <t>Vin.ivc.clamp</t>
    <phoneticPr fontId="1" type="noConversion"/>
  </si>
  <si>
    <t>rvin</t>
    <phoneticPr fontId="1" type="noConversion"/>
  </si>
  <si>
    <t>T.ivc.clamp</t>
    <phoneticPr fontId="1" type="noConversion"/>
  </si>
  <si>
    <t>T.ivc.stop</t>
    <phoneticPr fontId="1" type="noConversion"/>
  </si>
  <si>
    <t>Vin.ivc.start</t>
    <phoneticPr fontId="1" type="noConversion"/>
  </si>
  <si>
    <t>Q(Ctotal)</t>
    <phoneticPr fontId="1" type="noConversion"/>
  </si>
  <si>
    <t>C</t>
    <phoneticPr fontId="1" type="noConversion"/>
  </si>
  <si>
    <t>RRIVC calculation</t>
    <phoneticPr fontId="1" type="noConversion"/>
  </si>
  <si>
    <t>Q(FLY)</t>
    <phoneticPr fontId="1" type="noConversion"/>
  </si>
  <si>
    <t>RRIVC</t>
    <phoneticPr fontId="1" type="noConversion"/>
  </si>
  <si>
    <t>Vin.ivc.pk</t>
    <phoneticPr fontId="1" type="noConversion"/>
  </si>
  <si>
    <t>V x s</t>
    <phoneticPr fontId="1" type="noConversion"/>
  </si>
  <si>
    <t>A(VRIVC)</t>
    <phoneticPr fontId="1" type="noConversion"/>
  </si>
  <si>
    <t>ICAP.DIS.MAX</t>
    <phoneticPr fontId="1" type="noConversion"/>
  </si>
  <si>
    <t>RICC1</t>
    <phoneticPr fontId="1" type="noConversion"/>
  </si>
  <si>
    <t>RICC2</t>
    <phoneticPr fontId="1" type="noConversion"/>
  </si>
  <si>
    <t>2N7002</t>
    <phoneticPr fontId="1" type="noConversion"/>
  </si>
  <si>
    <t>1N4148WS</t>
    <phoneticPr fontId="1" type="noConversion"/>
  </si>
  <si>
    <t>Vf at room temp.</t>
    <phoneticPr fontId="1" type="noConversion"/>
  </si>
  <si>
    <t>Vf.min.yield</t>
    <phoneticPr fontId="1" type="noConversion"/>
  </si>
  <si>
    <t>Vf.max.yield</t>
    <phoneticPr fontId="1" type="noConversion"/>
  </si>
  <si>
    <t>Vf.min.yield+temp</t>
    <phoneticPr fontId="1" type="noConversion"/>
  </si>
  <si>
    <t>Vf.max.yield+temp</t>
    <phoneticPr fontId="1" type="noConversion"/>
  </si>
  <si>
    <t>SW.ICC tolerance</t>
    <phoneticPr fontId="1" type="noConversion"/>
  </si>
  <si>
    <t>D.ICC tolerance</t>
    <phoneticPr fontId="1" type="noConversion"/>
  </si>
  <si>
    <t>Vth at room temp.</t>
    <phoneticPr fontId="1" type="noConversion"/>
  </si>
  <si>
    <t>Vth.min.yield+temp</t>
    <phoneticPr fontId="1" type="noConversion"/>
  </si>
  <si>
    <t>Vth.max.yield</t>
    <phoneticPr fontId="1" type="noConversion"/>
  </si>
  <si>
    <t>Vth.max.yield+temp</t>
    <phoneticPr fontId="1" type="noConversion"/>
  </si>
  <si>
    <t>RICC calculation</t>
    <phoneticPr fontId="1" type="noConversion"/>
  </si>
  <si>
    <t>kΩ</t>
    <phoneticPr fontId="1" type="noConversion"/>
  </si>
  <si>
    <t>Vth.min.yield</t>
    <phoneticPr fontId="1" type="noConversion"/>
  </si>
  <si>
    <t>Iout.drop ratio</t>
    <phoneticPr fontId="1" type="noConversion"/>
  </si>
  <si>
    <t>RICC.Total</t>
    <phoneticPr fontId="1" type="noConversion"/>
  </si>
  <si>
    <t>min. FB @ max. PA and max. Vin</t>
    <phoneticPr fontId="1" type="noConversion"/>
  </si>
  <si>
    <t>t</t>
    <phoneticPr fontId="1" type="noConversion"/>
  </si>
  <si>
    <t>RTOP (selected)</t>
    <phoneticPr fontId="1" type="noConversion"/>
  </si>
  <si>
    <t>RTOP (recommended)</t>
    <phoneticPr fontId="1" type="noConversion"/>
  </si>
  <si>
    <r>
      <t>R</t>
    </r>
    <r>
      <rPr>
        <b/>
        <vertAlign val="subscript"/>
        <sz val="10"/>
        <color theme="1"/>
        <rFont val="Calibri"/>
        <family val="3"/>
        <charset val="129"/>
        <scheme val="minor"/>
      </rPr>
      <t>HOLD</t>
    </r>
    <r>
      <rPr>
        <b/>
        <sz val="10"/>
        <color theme="1"/>
        <rFont val="Calibri"/>
        <family val="3"/>
        <charset val="129"/>
        <scheme val="minor"/>
      </rPr>
      <t xml:space="preserve"> (recommended)</t>
    </r>
    <phoneticPr fontId="1" type="noConversion"/>
  </si>
  <si>
    <t>VFB.min.wOTC</t>
    <phoneticPr fontId="1" type="noConversion"/>
  </si>
  <si>
    <t>VFB.min.final</t>
    <phoneticPr fontId="1" type="noConversion"/>
  </si>
  <si>
    <t>rdim</t>
    <phoneticPr fontId="1" type="noConversion"/>
  </si>
  <si>
    <t>Rdim1</t>
    <phoneticPr fontId="1" type="noConversion"/>
  </si>
  <si>
    <t>Rdim2</t>
    <phoneticPr fontId="1" type="noConversion"/>
  </si>
  <si>
    <t>Open loop for digital filtering</t>
    <phoneticPr fontId="1" type="noConversion"/>
  </si>
  <si>
    <t>VFB.dig.start</t>
    <phoneticPr fontId="1" type="noConversion"/>
  </si>
  <si>
    <r>
      <t>Max. V</t>
    </r>
    <r>
      <rPr>
        <b/>
        <vertAlign val="subscript"/>
        <sz val="10"/>
        <color theme="1"/>
        <rFont val="Calibri"/>
        <family val="3"/>
        <charset val="129"/>
        <scheme val="minor"/>
      </rPr>
      <t>CS</t>
    </r>
    <r>
      <rPr>
        <b/>
        <sz val="10"/>
        <color theme="1"/>
        <rFont val="Calibri"/>
        <family val="3"/>
        <charset val="129"/>
        <scheme val="minor"/>
      </rPr>
      <t xml:space="preserve"> (calculated)</t>
    </r>
    <phoneticPr fontId="1" type="noConversion"/>
  </si>
  <si>
    <t>Active Damper Circuit</t>
    <phoneticPr fontId="1" type="noConversion"/>
  </si>
  <si>
    <t>VFB.MAX.HOLD(MaxPA)</t>
    <phoneticPr fontId="1" type="noConversion"/>
  </si>
  <si>
    <t>VFB.MAX.HOLD(180PA)</t>
    <phoneticPr fontId="1" type="noConversion"/>
  </si>
  <si>
    <t>Iin (min.Vin, max. PA)</t>
    <phoneticPr fontId="1" type="noConversion"/>
  </si>
  <si>
    <t>Iin (min.Vin, 180 PA)</t>
    <phoneticPr fontId="1" type="noConversion"/>
  </si>
  <si>
    <t>mean Vin</t>
    <phoneticPr fontId="1" type="noConversion"/>
  </si>
  <si>
    <t>Iin (mean.Vin, max. PA)</t>
    <phoneticPr fontId="1" type="noConversion"/>
  </si>
  <si>
    <t>Iin (mean.Vin, 180 PA)</t>
    <phoneticPr fontId="1" type="noConversion"/>
  </si>
  <si>
    <t>VTOP.MAX</t>
    <phoneticPr fontId="1" type="noConversion"/>
  </si>
  <si>
    <t>VHOLD.MAX w/o FB limit</t>
    <phoneticPr fontId="1" type="noConversion"/>
  </si>
  <si>
    <t>VHOLD.MAX w/ FB limit</t>
    <phoneticPr fontId="1" type="noConversion"/>
  </si>
  <si>
    <t>Ihold : Min. Iin@D.MODE</t>
    <phoneticPr fontId="1" type="noConversion"/>
  </si>
  <si>
    <t>Iin maxVin.180PA.woOTC</t>
    <phoneticPr fontId="1" type="noConversion"/>
  </si>
  <si>
    <t>VFB.maxVin.180PA.woOTC</t>
    <phoneticPr fontId="1" type="noConversion"/>
  </si>
  <si>
    <t>Rvin1 (selected)</t>
    <phoneticPr fontId="1" type="noConversion"/>
  </si>
  <si>
    <t>Vin.bnk (ND.MODE)</t>
    <phoneticPr fontId="1" type="noConversion"/>
  </si>
  <si>
    <t>Vin.bnk (D.MODE)</t>
    <phoneticPr fontId="1" type="noConversion"/>
  </si>
  <si>
    <t>Vin.bnk.final</t>
    <phoneticPr fontId="1" type="noConversion"/>
  </si>
  <si>
    <t>Top.maxVin.180PA.wOTC</t>
    <phoneticPr fontId="1" type="noConversion"/>
  </si>
  <si>
    <r>
      <t>N</t>
    </r>
    <r>
      <rPr>
        <b/>
        <vertAlign val="subscript"/>
        <sz val="10"/>
        <color theme="1"/>
        <rFont val="Calibri"/>
        <family val="3"/>
        <charset val="129"/>
        <scheme val="minor"/>
      </rPr>
      <t>P</t>
    </r>
    <r>
      <rPr>
        <b/>
        <sz val="10"/>
        <color theme="1"/>
        <rFont val="Calibri"/>
        <family val="3"/>
        <charset val="129"/>
        <scheme val="minor"/>
      </rPr>
      <t xml:space="preserve"> (selected)</t>
    </r>
    <phoneticPr fontId="1" type="noConversion"/>
  </si>
  <si>
    <r>
      <t>N</t>
    </r>
    <r>
      <rPr>
        <b/>
        <vertAlign val="subscript"/>
        <sz val="10"/>
        <color theme="1"/>
        <rFont val="Calibri"/>
        <family val="3"/>
        <charset val="129"/>
        <scheme val="minor"/>
      </rPr>
      <t>S</t>
    </r>
    <r>
      <rPr>
        <b/>
        <sz val="10"/>
        <color theme="1"/>
        <rFont val="Calibri"/>
        <family val="3"/>
        <charset val="129"/>
        <scheme val="minor"/>
      </rPr>
      <t xml:space="preserve"> (recommended)</t>
    </r>
    <phoneticPr fontId="1" type="noConversion"/>
  </si>
  <si>
    <r>
      <t>N</t>
    </r>
    <r>
      <rPr>
        <b/>
        <vertAlign val="subscript"/>
        <sz val="10"/>
        <color theme="1"/>
        <rFont val="Calibri"/>
        <family val="3"/>
        <charset val="129"/>
        <scheme val="minor"/>
      </rPr>
      <t>S</t>
    </r>
    <r>
      <rPr>
        <b/>
        <sz val="10"/>
        <color theme="1"/>
        <rFont val="Calibri"/>
        <family val="3"/>
        <charset val="129"/>
        <scheme val="minor"/>
      </rPr>
      <t xml:space="preserve"> (selected)</t>
    </r>
    <phoneticPr fontId="1" type="noConversion"/>
  </si>
  <si>
    <t>T</t>
    <phoneticPr fontId="1" type="noConversion"/>
  </si>
  <si>
    <r>
      <t>N</t>
    </r>
    <r>
      <rPr>
        <b/>
        <vertAlign val="subscript"/>
        <sz val="10"/>
        <color theme="1"/>
        <rFont val="Calibri"/>
        <family val="3"/>
        <charset val="129"/>
        <scheme val="minor"/>
      </rPr>
      <t>A</t>
    </r>
    <r>
      <rPr>
        <b/>
        <sz val="10"/>
        <color theme="1"/>
        <rFont val="Calibri"/>
        <family val="3"/>
        <charset val="129"/>
        <scheme val="minor"/>
      </rPr>
      <t xml:space="preserve"> (recommended)</t>
    </r>
    <phoneticPr fontId="1" type="noConversion"/>
  </si>
  <si>
    <r>
      <t>N</t>
    </r>
    <r>
      <rPr>
        <b/>
        <vertAlign val="subscript"/>
        <sz val="10"/>
        <color theme="1"/>
        <rFont val="Calibri"/>
        <family val="3"/>
        <charset val="129"/>
        <scheme val="minor"/>
      </rPr>
      <t>A</t>
    </r>
    <r>
      <rPr>
        <b/>
        <sz val="10"/>
        <color theme="1"/>
        <rFont val="Calibri"/>
        <family val="3"/>
        <charset val="129"/>
        <scheme val="minor"/>
      </rPr>
      <t xml:space="preserve"> (selected)</t>
    </r>
    <phoneticPr fontId="1" type="noConversion"/>
  </si>
  <si>
    <r>
      <t>Max. V</t>
    </r>
    <r>
      <rPr>
        <b/>
        <vertAlign val="subscript"/>
        <sz val="10"/>
        <color theme="1"/>
        <rFont val="Calibri"/>
        <family val="3"/>
        <charset val="129"/>
        <scheme val="minor"/>
      </rPr>
      <t>CS</t>
    </r>
    <r>
      <rPr>
        <b/>
        <sz val="10"/>
        <color theme="1"/>
        <rFont val="Calibri"/>
        <family val="3"/>
        <charset val="129"/>
        <scheme val="minor"/>
      </rPr>
      <t xml:space="preserve"> (expected)</t>
    </r>
    <phoneticPr fontId="1" type="noConversion"/>
  </si>
  <si>
    <t>Snubber Design</t>
    <phoneticPr fontId="1" type="noConversion"/>
  </si>
  <si>
    <t>V</t>
    <phoneticPr fontId="1" type="noConversion"/>
  </si>
  <si>
    <t>kohm</t>
    <phoneticPr fontId="1" type="noConversion"/>
  </si>
  <si>
    <t>nF</t>
    <phoneticPr fontId="1" type="noConversion"/>
  </si>
  <si>
    <r>
      <t>C</t>
    </r>
    <r>
      <rPr>
        <b/>
        <vertAlign val="subscript"/>
        <sz val="10"/>
        <color theme="1"/>
        <rFont val="Calibri"/>
        <family val="3"/>
        <charset val="129"/>
        <scheme val="minor"/>
      </rPr>
      <t>HOLD</t>
    </r>
    <phoneticPr fontId="1" type="noConversion"/>
  </si>
  <si>
    <r>
      <t>R</t>
    </r>
    <r>
      <rPr>
        <b/>
        <vertAlign val="subscript"/>
        <sz val="10"/>
        <color theme="1"/>
        <rFont val="Calibri"/>
        <family val="3"/>
        <charset val="129"/>
        <scheme val="minor"/>
      </rPr>
      <t>TCIC</t>
    </r>
    <r>
      <rPr>
        <b/>
        <sz val="10"/>
        <color theme="1"/>
        <rFont val="Calibri"/>
        <family val="3"/>
        <charset val="129"/>
        <scheme val="minor"/>
      </rPr>
      <t xml:space="preserve"> (recommended)</t>
    </r>
    <phoneticPr fontId="1" type="noConversion"/>
  </si>
  <si>
    <r>
      <t>R</t>
    </r>
    <r>
      <rPr>
        <b/>
        <vertAlign val="subscript"/>
        <sz val="10"/>
        <color theme="1"/>
        <rFont val="Calibri"/>
        <family val="3"/>
        <charset val="129"/>
        <scheme val="minor"/>
      </rPr>
      <t>TCIC</t>
    </r>
    <r>
      <rPr>
        <b/>
        <sz val="10"/>
        <color theme="1"/>
        <rFont val="Calibri"/>
        <family val="3"/>
        <charset val="129"/>
        <scheme val="minor"/>
      </rPr>
      <t xml:space="preserve"> (selected)</t>
    </r>
    <phoneticPr fontId="1" type="noConversion"/>
  </si>
  <si>
    <r>
      <t>C</t>
    </r>
    <r>
      <rPr>
        <b/>
        <vertAlign val="subscript"/>
        <sz val="10"/>
        <color theme="1"/>
        <rFont val="Calibri"/>
        <family val="3"/>
        <charset val="129"/>
        <scheme val="minor"/>
      </rPr>
      <t>TCIC</t>
    </r>
    <phoneticPr fontId="1" type="noConversion"/>
  </si>
  <si>
    <r>
      <t>SW</t>
    </r>
    <r>
      <rPr>
        <b/>
        <vertAlign val="subscript"/>
        <sz val="10"/>
        <color theme="1"/>
        <rFont val="Calibri"/>
        <family val="3"/>
        <charset val="129"/>
        <scheme val="minor"/>
      </rPr>
      <t>CIC</t>
    </r>
    <phoneticPr fontId="1" type="noConversion"/>
  </si>
  <si>
    <r>
      <t>D</t>
    </r>
    <r>
      <rPr>
        <b/>
        <vertAlign val="subscript"/>
        <sz val="10"/>
        <color theme="1"/>
        <rFont val="Calibri"/>
        <family val="3"/>
        <charset val="129"/>
        <scheme val="minor"/>
      </rPr>
      <t>CIC</t>
    </r>
    <phoneticPr fontId="1" type="noConversion"/>
  </si>
  <si>
    <r>
      <t>R</t>
    </r>
    <r>
      <rPr>
        <b/>
        <vertAlign val="subscript"/>
        <sz val="10"/>
        <color theme="1"/>
        <rFont val="Calibri"/>
        <family val="3"/>
        <charset val="129"/>
        <scheme val="minor"/>
      </rPr>
      <t>CIC1</t>
    </r>
    <phoneticPr fontId="1" type="noConversion"/>
  </si>
  <si>
    <t>CIC Circuit</t>
    <phoneticPr fontId="1" type="noConversion"/>
  </si>
  <si>
    <t>BLD Circuit</t>
    <phoneticPr fontId="1" type="noConversion"/>
  </si>
  <si>
    <t>BIAS Circuit</t>
    <phoneticPr fontId="1" type="noConversion"/>
  </si>
  <si>
    <r>
      <t>R</t>
    </r>
    <r>
      <rPr>
        <b/>
        <vertAlign val="subscript"/>
        <sz val="10"/>
        <color theme="1"/>
        <rFont val="Calibri"/>
        <family val="3"/>
        <charset val="129"/>
        <scheme val="minor"/>
      </rPr>
      <t>RBLD</t>
    </r>
    <phoneticPr fontId="1" type="noConversion"/>
  </si>
  <si>
    <r>
      <t>Max. I</t>
    </r>
    <r>
      <rPr>
        <b/>
        <vertAlign val="subscript"/>
        <sz val="10"/>
        <color theme="1"/>
        <rFont val="Calibri"/>
        <family val="3"/>
        <charset val="129"/>
        <scheme val="minor"/>
      </rPr>
      <t>BLD</t>
    </r>
    <phoneticPr fontId="1" type="noConversion"/>
  </si>
  <si>
    <r>
      <t>R</t>
    </r>
    <r>
      <rPr>
        <b/>
        <vertAlign val="subscript"/>
        <sz val="10"/>
        <color theme="1"/>
        <rFont val="Calibri"/>
        <family val="3"/>
        <charset val="129"/>
        <scheme val="minor"/>
      </rPr>
      <t>MBLD</t>
    </r>
    <phoneticPr fontId="1" type="noConversion"/>
  </si>
  <si>
    <r>
      <t>R</t>
    </r>
    <r>
      <rPr>
        <b/>
        <vertAlign val="subscript"/>
        <sz val="10"/>
        <color theme="1"/>
        <rFont val="Calibri"/>
        <family val="3"/>
        <charset val="129"/>
        <scheme val="minor"/>
      </rPr>
      <t>BLD</t>
    </r>
    <phoneticPr fontId="1" type="noConversion"/>
  </si>
  <si>
    <r>
      <t>R</t>
    </r>
    <r>
      <rPr>
        <b/>
        <vertAlign val="subscript"/>
        <sz val="10"/>
        <color theme="1"/>
        <rFont val="Calibri"/>
        <family val="3"/>
        <charset val="129"/>
        <scheme val="minor"/>
      </rPr>
      <t>BIAS1</t>
    </r>
    <phoneticPr fontId="1" type="noConversion"/>
  </si>
  <si>
    <r>
      <t>R</t>
    </r>
    <r>
      <rPr>
        <b/>
        <vertAlign val="subscript"/>
        <sz val="10"/>
        <color theme="1"/>
        <rFont val="Calibri"/>
        <family val="3"/>
        <charset val="129"/>
        <scheme val="minor"/>
      </rPr>
      <t>BIAS2</t>
    </r>
    <phoneticPr fontId="1" type="noConversion"/>
  </si>
  <si>
    <r>
      <t>C</t>
    </r>
    <r>
      <rPr>
        <b/>
        <vertAlign val="subscript"/>
        <sz val="10"/>
        <color theme="1"/>
        <rFont val="Calibri"/>
        <family val="3"/>
        <charset val="129"/>
        <scheme val="minor"/>
      </rPr>
      <t>BIAS</t>
    </r>
    <phoneticPr fontId="1" type="noConversion"/>
  </si>
  <si>
    <t>uH</t>
    <phoneticPr fontId="1" type="noConversion"/>
  </si>
  <si>
    <t>Snubber design</t>
    <phoneticPr fontId="1" type="noConversion"/>
  </si>
  <si>
    <t>Llk</t>
    <phoneticPr fontId="1" type="noConversion"/>
  </si>
  <si>
    <t>Rsn</t>
    <phoneticPr fontId="1" type="noConversion"/>
  </si>
  <si>
    <t>ohm</t>
    <phoneticPr fontId="1" type="noConversion"/>
  </si>
  <si>
    <t>Csn</t>
    <phoneticPr fontId="1" type="noConversion"/>
  </si>
  <si>
    <t>Power Device Rating</t>
    <phoneticPr fontId="1" type="noConversion"/>
  </si>
  <si>
    <r>
      <t>V</t>
    </r>
    <r>
      <rPr>
        <b/>
        <vertAlign val="subscript"/>
        <sz val="10"/>
        <color theme="1"/>
        <rFont val="Calibri"/>
        <family val="3"/>
        <charset val="129"/>
        <scheme val="minor"/>
      </rPr>
      <t>SN</t>
    </r>
    <phoneticPr fontId="1" type="noConversion"/>
  </si>
  <si>
    <r>
      <t>∆V</t>
    </r>
    <r>
      <rPr>
        <b/>
        <vertAlign val="subscript"/>
        <sz val="10"/>
        <color theme="1"/>
        <rFont val="맑은 고딕"/>
        <family val="3"/>
        <charset val="129"/>
      </rPr>
      <t>SN</t>
    </r>
    <phoneticPr fontId="1" type="noConversion"/>
  </si>
  <si>
    <r>
      <t>C</t>
    </r>
    <r>
      <rPr>
        <b/>
        <vertAlign val="subscript"/>
        <sz val="10"/>
        <color theme="1"/>
        <rFont val="Calibri"/>
        <family val="3"/>
        <charset val="129"/>
        <scheme val="minor"/>
      </rPr>
      <t>SN</t>
    </r>
    <phoneticPr fontId="1" type="noConversion"/>
  </si>
  <si>
    <t>Power device rating</t>
    <phoneticPr fontId="1" type="noConversion"/>
  </si>
  <si>
    <t>RMS I(SW_MAIN)</t>
    <phoneticPr fontId="1" type="noConversion"/>
  </si>
  <si>
    <r>
      <t>SW</t>
    </r>
    <r>
      <rPr>
        <b/>
        <vertAlign val="subscript"/>
        <sz val="10"/>
        <color theme="1"/>
        <rFont val="Calibri"/>
        <family val="3"/>
        <charset val="129"/>
        <scheme val="minor"/>
      </rPr>
      <t>MAIN</t>
    </r>
    <r>
      <rPr>
        <b/>
        <sz val="10"/>
        <color theme="1"/>
        <rFont val="Calibri"/>
        <family val="3"/>
        <charset val="129"/>
        <scheme val="minor"/>
      </rPr>
      <t xml:space="preserve"> V</t>
    </r>
    <r>
      <rPr>
        <b/>
        <vertAlign val="subscript"/>
        <sz val="10"/>
        <color theme="1"/>
        <rFont val="Calibri"/>
        <family val="3"/>
        <charset val="129"/>
        <scheme val="minor"/>
      </rPr>
      <t>MAX</t>
    </r>
    <phoneticPr fontId="1" type="noConversion"/>
  </si>
  <si>
    <r>
      <t>SW</t>
    </r>
    <r>
      <rPr>
        <b/>
        <vertAlign val="subscript"/>
        <sz val="10"/>
        <color theme="1"/>
        <rFont val="Calibri"/>
        <family val="3"/>
        <charset val="129"/>
        <scheme val="minor"/>
      </rPr>
      <t>MAIN</t>
    </r>
    <r>
      <rPr>
        <b/>
        <sz val="10"/>
        <color theme="1"/>
        <rFont val="Calibri"/>
        <family val="3"/>
        <charset val="129"/>
        <scheme val="minor"/>
      </rPr>
      <t xml:space="preserve"> I</t>
    </r>
    <r>
      <rPr>
        <b/>
        <vertAlign val="subscript"/>
        <sz val="10"/>
        <color theme="1"/>
        <rFont val="Calibri"/>
        <family val="3"/>
        <charset val="129"/>
        <scheme val="minor"/>
      </rPr>
      <t>PK</t>
    </r>
    <phoneticPr fontId="1" type="noConversion"/>
  </si>
  <si>
    <r>
      <t>SW</t>
    </r>
    <r>
      <rPr>
        <b/>
        <vertAlign val="subscript"/>
        <sz val="10"/>
        <color theme="1"/>
        <rFont val="Calibri"/>
        <family val="3"/>
        <charset val="129"/>
        <scheme val="minor"/>
      </rPr>
      <t>MAIN</t>
    </r>
    <r>
      <rPr>
        <b/>
        <sz val="10"/>
        <color theme="1"/>
        <rFont val="Calibri"/>
        <family val="3"/>
        <charset val="129"/>
        <scheme val="minor"/>
      </rPr>
      <t xml:space="preserve"> I</t>
    </r>
    <r>
      <rPr>
        <b/>
        <vertAlign val="subscript"/>
        <sz val="10"/>
        <color theme="1"/>
        <rFont val="Calibri"/>
        <family val="3"/>
        <charset val="129"/>
        <scheme val="minor"/>
      </rPr>
      <t>RMS</t>
    </r>
    <phoneticPr fontId="1" type="noConversion"/>
  </si>
  <si>
    <r>
      <t>D</t>
    </r>
    <r>
      <rPr>
        <b/>
        <vertAlign val="subscript"/>
        <sz val="10"/>
        <color theme="1"/>
        <rFont val="Calibri"/>
        <family val="3"/>
        <charset val="129"/>
        <scheme val="minor"/>
      </rPr>
      <t>OUT</t>
    </r>
    <r>
      <rPr>
        <b/>
        <sz val="10"/>
        <color theme="1"/>
        <rFont val="Calibri"/>
        <family val="3"/>
        <charset val="129"/>
        <scheme val="minor"/>
      </rPr>
      <t xml:space="preserve"> V</t>
    </r>
    <r>
      <rPr>
        <b/>
        <vertAlign val="subscript"/>
        <sz val="10"/>
        <color theme="1"/>
        <rFont val="Calibri"/>
        <family val="3"/>
        <charset val="129"/>
        <scheme val="minor"/>
      </rPr>
      <t>MAX</t>
    </r>
    <phoneticPr fontId="1" type="noConversion"/>
  </si>
  <si>
    <r>
      <t>D</t>
    </r>
    <r>
      <rPr>
        <b/>
        <vertAlign val="subscript"/>
        <sz val="10"/>
        <color theme="1"/>
        <rFont val="Calibri"/>
        <family val="3"/>
        <charset val="129"/>
        <scheme val="minor"/>
      </rPr>
      <t>OUT</t>
    </r>
    <r>
      <rPr>
        <b/>
        <sz val="10"/>
        <color theme="1"/>
        <rFont val="Calibri"/>
        <family val="3"/>
        <charset val="129"/>
        <scheme val="minor"/>
      </rPr>
      <t xml:space="preserve"> I</t>
    </r>
    <r>
      <rPr>
        <b/>
        <vertAlign val="subscript"/>
        <sz val="10"/>
        <color theme="1"/>
        <rFont val="Calibri"/>
        <family val="3"/>
        <charset val="129"/>
        <scheme val="minor"/>
      </rPr>
      <t>PK</t>
    </r>
    <phoneticPr fontId="1" type="noConversion"/>
  </si>
  <si>
    <r>
      <t>D</t>
    </r>
    <r>
      <rPr>
        <b/>
        <vertAlign val="subscript"/>
        <sz val="10"/>
        <color theme="1"/>
        <rFont val="Calibri"/>
        <family val="3"/>
        <charset val="129"/>
        <scheme val="minor"/>
      </rPr>
      <t>OUT</t>
    </r>
    <r>
      <rPr>
        <b/>
        <sz val="10"/>
        <color theme="1"/>
        <rFont val="Calibri"/>
        <family val="3"/>
        <charset val="129"/>
        <scheme val="minor"/>
      </rPr>
      <t xml:space="preserve"> I</t>
    </r>
    <r>
      <rPr>
        <b/>
        <vertAlign val="subscript"/>
        <sz val="10"/>
        <color theme="1"/>
        <rFont val="Calibri"/>
        <family val="3"/>
        <charset val="129"/>
        <scheme val="minor"/>
      </rPr>
      <t>AVG</t>
    </r>
    <phoneticPr fontId="1" type="noConversion"/>
  </si>
  <si>
    <t>A.open.start</t>
    <phoneticPr fontId="1" type="noConversion"/>
  </si>
  <si>
    <t>T.pc.open.start</t>
    <phoneticPr fontId="1" type="noConversion"/>
  </si>
  <si>
    <t>VDIM.ripple.open.start</t>
    <phoneticPr fontId="1" type="noConversion"/>
  </si>
  <si>
    <t>VDIM.pk.open.start</t>
    <phoneticPr fontId="1" type="noConversion"/>
  </si>
  <si>
    <t>VMOD.pk.open.start</t>
    <phoneticPr fontId="1" type="noConversion"/>
  </si>
  <si>
    <t>ns</t>
    <phoneticPr fontId="1" type="noConversion"/>
  </si>
  <si>
    <r>
      <t>T</t>
    </r>
    <r>
      <rPr>
        <b/>
        <vertAlign val="subscript"/>
        <sz val="10"/>
        <color theme="1"/>
        <rFont val="Calibri"/>
        <family val="3"/>
        <charset val="129"/>
        <scheme val="minor"/>
      </rPr>
      <t>GATE.OFF.PD</t>
    </r>
    <phoneticPr fontId="1" type="noConversion"/>
  </si>
  <si>
    <t>Rcomp.int</t>
    <phoneticPr fontId="1" type="noConversion"/>
  </si>
  <si>
    <t>Tgate.off.pd</t>
    <phoneticPr fontId="1" type="noConversion"/>
  </si>
  <si>
    <t>Rcomp.total</t>
    <phoneticPr fontId="1" type="noConversion"/>
  </si>
  <si>
    <r>
      <t>R</t>
    </r>
    <r>
      <rPr>
        <b/>
        <vertAlign val="subscript"/>
        <sz val="10"/>
        <color theme="1"/>
        <rFont val="Calibri"/>
        <family val="3"/>
        <charset val="129"/>
        <scheme val="minor"/>
      </rPr>
      <t>COMP</t>
    </r>
    <phoneticPr fontId="1" type="noConversion"/>
  </si>
  <si>
    <t>V</t>
    <phoneticPr fontId="1" type="noConversion"/>
  </si>
  <si>
    <r>
      <t>V</t>
    </r>
    <r>
      <rPr>
        <b/>
        <vertAlign val="subscript"/>
        <sz val="10"/>
        <color theme="1"/>
        <rFont val="Calibri"/>
        <family val="3"/>
        <charset val="129"/>
        <scheme val="minor"/>
      </rPr>
      <t>ZD.DP1</t>
    </r>
    <phoneticPr fontId="1" type="noConversion"/>
  </si>
  <si>
    <r>
      <t>R</t>
    </r>
    <r>
      <rPr>
        <b/>
        <vertAlign val="subscript"/>
        <sz val="10"/>
        <color theme="1"/>
        <rFont val="Calibri"/>
        <family val="3"/>
        <charset val="129"/>
        <scheme val="minor"/>
      </rPr>
      <t>DP3</t>
    </r>
    <phoneticPr fontId="1" type="noConversion"/>
  </si>
  <si>
    <r>
      <t>R</t>
    </r>
    <r>
      <rPr>
        <b/>
        <vertAlign val="subscript"/>
        <sz val="10"/>
        <color theme="1"/>
        <rFont val="Calibri"/>
        <family val="3"/>
        <charset val="129"/>
        <scheme val="minor"/>
      </rPr>
      <t>DP4</t>
    </r>
    <phoneticPr fontId="1" type="noConversion"/>
  </si>
  <si>
    <r>
      <t>R</t>
    </r>
    <r>
      <rPr>
        <b/>
        <vertAlign val="subscript"/>
        <sz val="10"/>
        <color theme="1"/>
        <rFont val="Calibri"/>
        <family val="3"/>
        <charset val="129"/>
        <scheme val="minor"/>
      </rPr>
      <t>DP1</t>
    </r>
    <phoneticPr fontId="1" type="noConversion"/>
  </si>
  <si>
    <t>Iin.pk</t>
    <phoneticPr fontId="1" type="noConversion"/>
  </si>
  <si>
    <r>
      <t>R</t>
    </r>
    <r>
      <rPr>
        <b/>
        <vertAlign val="subscript"/>
        <sz val="10"/>
        <color theme="1"/>
        <rFont val="Calibri"/>
        <family val="3"/>
        <charset val="129"/>
        <scheme val="minor"/>
      </rPr>
      <t>DP2</t>
    </r>
    <phoneticPr fontId="1" type="noConversion"/>
  </si>
  <si>
    <r>
      <t>I</t>
    </r>
    <r>
      <rPr>
        <b/>
        <vertAlign val="subscript"/>
        <sz val="10"/>
        <color theme="1"/>
        <rFont val="Calibri"/>
        <family val="3"/>
        <charset val="129"/>
        <scheme val="minor"/>
      </rPr>
      <t>DP.MAX</t>
    </r>
    <r>
      <rPr>
        <b/>
        <sz val="10"/>
        <color theme="1"/>
        <rFont val="Calibri"/>
        <family val="3"/>
        <charset val="129"/>
        <scheme val="minor"/>
      </rPr>
      <t xml:space="preserve"> (recommended)</t>
    </r>
    <phoneticPr fontId="1" type="noConversion"/>
  </si>
  <si>
    <r>
      <t>I</t>
    </r>
    <r>
      <rPr>
        <b/>
        <vertAlign val="subscript"/>
        <sz val="10"/>
        <color theme="1"/>
        <rFont val="Calibri"/>
        <family val="3"/>
        <charset val="129"/>
        <scheme val="minor"/>
      </rPr>
      <t>DP.MAX</t>
    </r>
    <r>
      <rPr>
        <b/>
        <sz val="10"/>
        <color theme="1"/>
        <rFont val="Calibri"/>
        <family val="3"/>
        <charset val="129"/>
        <scheme val="minor"/>
      </rPr>
      <t xml:space="preserve"> (selected)</t>
    </r>
    <phoneticPr fontId="1" type="noConversion"/>
  </si>
  <si>
    <t>mA</t>
    <phoneticPr fontId="1" type="noConversion"/>
  </si>
  <si>
    <t>Idp.max (selected)</t>
    <phoneticPr fontId="1" type="noConversion"/>
  </si>
  <si>
    <r>
      <t>I</t>
    </r>
    <r>
      <rPr>
        <b/>
        <vertAlign val="subscript"/>
        <sz val="10"/>
        <color theme="1"/>
        <rFont val="Calibri"/>
        <family val="3"/>
        <charset val="129"/>
        <scheme val="minor"/>
      </rPr>
      <t>DP.BIAS</t>
    </r>
    <r>
      <rPr>
        <b/>
        <sz val="10"/>
        <color theme="1"/>
        <rFont val="Calibri"/>
        <family val="3"/>
        <charset val="129"/>
        <scheme val="minor"/>
      </rPr>
      <t xml:space="preserve"> (max. limit)</t>
    </r>
    <phoneticPr fontId="1" type="noConversion"/>
  </si>
  <si>
    <r>
      <t>I</t>
    </r>
    <r>
      <rPr>
        <b/>
        <vertAlign val="subscript"/>
        <sz val="10"/>
        <color theme="1"/>
        <rFont val="Calibri"/>
        <family val="3"/>
        <charset val="129"/>
        <scheme val="minor"/>
      </rPr>
      <t>DP.BIAS</t>
    </r>
    <r>
      <rPr>
        <b/>
        <sz val="10"/>
        <color theme="1"/>
        <rFont val="Calibri"/>
        <family val="3"/>
        <charset val="129"/>
        <scheme val="minor"/>
      </rPr>
      <t xml:space="preserve"> (selected)</t>
    </r>
    <phoneticPr fontId="1" type="noConversion"/>
  </si>
  <si>
    <r>
      <t>V</t>
    </r>
    <r>
      <rPr>
        <b/>
        <vertAlign val="subscript"/>
        <sz val="10"/>
        <color theme="1"/>
        <rFont val="Calibri"/>
        <family val="3"/>
        <charset val="129"/>
        <scheme val="minor"/>
      </rPr>
      <t>ZD.DP2</t>
    </r>
    <phoneticPr fontId="1" type="noConversion"/>
  </si>
  <si>
    <t>I.DP.BIAS</t>
    <phoneticPr fontId="1" type="noConversion"/>
  </si>
  <si>
    <t>RDP2</t>
    <phoneticPr fontId="1" type="noConversion"/>
  </si>
  <si>
    <t>Rsn (w/ active damper)</t>
    <phoneticPr fontId="1" type="noConversion"/>
  </si>
  <si>
    <r>
      <t>V</t>
    </r>
    <r>
      <rPr>
        <b/>
        <vertAlign val="subscript"/>
        <sz val="10"/>
        <color theme="1"/>
        <rFont val="Calibri"/>
        <family val="3"/>
        <charset val="129"/>
        <scheme val="minor"/>
      </rPr>
      <t>SN.MIN.ND</t>
    </r>
    <phoneticPr fontId="1" type="noConversion"/>
  </si>
  <si>
    <t>RDP3</t>
    <phoneticPr fontId="1" type="noConversion"/>
  </si>
  <si>
    <t>V.SW.DP.TH</t>
    <phoneticPr fontId="1" type="noConversion"/>
  </si>
  <si>
    <r>
      <t>C</t>
    </r>
    <r>
      <rPr>
        <b/>
        <vertAlign val="subscript"/>
        <sz val="10"/>
        <color theme="1"/>
        <rFont val="Calibri"/>
        <family val="3"/>
        <charset val="129"/>
        <scheme val="minor"/>
      </rPr>
      <t>DP</t>
    </r>
    <phoneticPr fontId="1" type="noConversion"/>
  </si>
  <si>
    <t>Ihold (recommended)</t>
    <phoneticPr fontId="1" type="noConversion"/>
  </si>
  <si>
    <r>
      <t>I</t>
    </r>
    <r>
      <rPr>
        <b/>
        <vertAlign val="subscript"/>
        <sz val="10"/>
        <color theme="1"/>
        <rFont val="Calibri"/>
        <family val="3"/>
        <charset val="129"/>
        <scheme val="minor"/>
      </rPr>
      <t>HOLD</t>
    </r>
    <r>
      <rPr>
        <b/>
        <sz val="10"/>
        <color theme="1"/>
        <rFont val="Calibri"/>
        <family val="3"/>
        <charset val="129"/>
        <scheme val="minor"/>
      </rPr>
      <t xml:space="preserve"> (recommended)</t>
    </r>
    <phoneticPr fontId="1" type="noConversion"/>
  </si>
  <si>
    <r>
      <t>I</t>
    </r>
    <r>
      <rPr>
        <b/>
        <vertAlign val="subscript"/>
        <sz val="10"/>
        <color theme="1"/>
        <rFont val="Calibri"/>
        <family val="3"/>
        <charset val="129"/>
        <scheme val="minor"/>
      </rPr>
      <t>HOLD</t>
    </r>
    <r>
      <rPr>
        <b/>
        <sz val="10"/>
        <color theme="1"/>
        <rFont val="Calibri"/>
        <family val="3"/>
        <charset val="129"/>
        <scheme val="minor"/>
      </rPr>
      <t xml:space="preserve"> (selected)</t>
    </r>
    <phoneticPr fontId="1" type="noConversion"/>
  </si>
  <si>
    <t>Input/Output Spec</t>
    <phoneticPr fontId="1" type="noConversion"/>
  </si>
  <si>
    <r>
      <t>R</t>
    </r>
    <r>
      <rPr>
        <b/>
        <vertAlign val="subscript"/>
        <sz val="10"/>
        <color theme="1"/>
        <rFont val="Calibri"/>
        <family val="3"/>
        <charset val="129"/>
        <scheme val="minor"/>
      </rPr>
      <t>SN</t>
    </r>
    <r>
      <rPr>
        <b/>
        <sz val="10"/>
        <color theme="1"/>
        <rFont val="Calibri"/>
        <family val="3"/>
        <charset val="129"/>
        <scheme val="minor"/>
      </rPr>
      <t xml:space="preserve"> (w/o active damper)</t>
    </r>
    <phoneticPr fontId="1" type="noConversion"/>
  </si>
  <si>
    <r>
      <t>R</t>
    </r>
    <r>
      <rPr>
        <b/>
        <vertAlign val="subscript"/>
        <sz val="10"/>
        <color theme="1"/>
        <rFont val="Calibri"/>
        <family val="3"/>
        <charset val="129"/>
        <scheme val="minor"/>
      </rPr>
      <t>SN</t>
    </r>
    <r>
      <rPr>
        <b/>
        <sz val="10"/>
        <color theme="1"/>
        <rFont val="Calibri"/>
        <family val="3"/>
        <charset val="129"/>
        <scheme val="minor"/>
      </rPr>
      <t xml:space="preserve"> (w/ active damper)</t>
    </r>
    <phoneticPr fontId="1" type="noConversion"/>
  </si>
  <si>
    <t>Input : Enter value by user</t>
    <phoneticPr fontId="1" type="noConversion"/>
  </si>
  <si>
    <t>Output : Calculation result</t>
    <phoneticPr fontId="1" type="noConversion"/>
  </si>
  <si>
    <t>Active damper calculation</t>
    <phoneticPr fontId="1" type="noConversion"/>
  </si>
  <si>
    <r>
      <t>R</t>
    </r>
    <r>
      <rPr>
        <b/>
        <vertAlign val="subscript"/>
        <sz val="10"/>
        <color theme="1"/>
        <rFont val="Calibri"/>
        <family val="3"/>
        <charset val="129"/>
        <scheme val="minor"/>
      </rPr>
      <t>CIC2</t>
    </r>
    <phoneticPr fontId="1" type="noConversion"/>
  </si>
  <si>
    <r>
      <t>C</t>
    </r>
    <r>
      <rPr>
        <b/>
        <vertAlign val="subscript"/>
        <sz val="10"/>
        <color theme="1"/>
        <rFont val="Calibri"/>
        <family val="3"/>
        <charset val="129"/>
        <scheme val="minor"/>
      </rPr>
      <t>VIN</t>
    </r>
    <phoneticPr fontId="1" type="noConversion"/>
  </si>
  <si>
    <t>pF</t>
    <phoneticPr fontId="1" type="noConversion"/>
  </si>
  <si>
    <r>
      <t>R</t>
    </r>
    <r>
      <rPr>
        <b/>
        <vertAlign val="subscript"/>
        <sz val="10"/>
        <color theme="1"/>
        <rFont val="Calibri"/>
        <family val="3"/>
        <charset val="129"/>
        <scheme val="minor"/>
      </rPr>
      <t>VDD1</t>
    </r>
    <phoneticPr fontId="1" type="noConversion"/>
  </si>
  <si>
    <r>
      <t>R</t>
    </r>
    <r>
      <rPr>
        <b/>
        <vertAlign val="subscript"/>
        <sz val="10"/>
        <color theme="1"/>
        <rFont val="Calibri"/>
        <family val="3"/>
        <charset val="129"/>
        <scheme val="minor"/>
      </rPr>
      <t>DP5</t>
    </r>
    <phoneticPr fontId="1" type="noConversion"/>
  </si>
  <si>
    <r>
      <t>SW</t>
    </r>
    <r>
      <rPr>
        <b/>
        <vertAlign val="subscript"/>
        <sz val="10"/>
        <color theme="1"/>
        <rFont val="Calibri"/>
        <family val="3"/>
        <charset val="129"/>
        <scheme val="minor"/>
      </rPr>
      <t>MAIN</t>
    </r>
    <r>
      <rPr>
        <b/>
        <sz val="10"/>
        <color theme="1"/>
        <rFont val="Calibri"/>
        <family val="3"/>
        <charset val="129"/>
        <scheme val="minor"/>
      </rPr>
      <t xml:space="preserve"> &amp; D</t>
    </r>
    <r>
      <rPr>
        <b/>
        <vertAlign val="subscript"/>
        <sz val="10"/>
        <color theme="1"/>
        <rFont val="Calibri"/>
        <family val="3"/>
        <charset val="129"/>
        <scheme val="minor"/>
      </rPr>
      <t>OUT</t>
    </r>
    <r>
      <rPr>
        <b/>
        <sz val="10"/>
        <color theme="1"/>
        <rFont val="Calibri"/>
        <family val="3"/>
        <charset val="129"/>
        <scheme val="minor"/>
      </rPr>
      <t xml:space="preserve"> V</t>
    </r>
    <r>
      <rPr>
        <b/>
        <vertAlign val="subscript"/>
        <sz val="10"/>
        <color theme="1"/>
        <rFont val="Calibri"/>
        <family val="3"/>
        <charset val="129"/>
        <scheme val="minor"/>
      </rPr>
      <t>MAX</t>
    </r>
    <phoneticPr fontId="1" type="noConversion"/>
  </si>
  <si>
    <r>
      <t>SW</t>
    </r>
    <r>
      <rPr>
        <b/>
        <vertAlign val="subscript"/>
        <sz val="10"/>
        <color theme="1"/>
        <rFont val="Calibri"/>
        <family val="3"/>
        <charset val="129"/>
        <scheme val="minor"/>
      </rPr>
      <t>MAIN</t>
    </r>
    <r>
      <rPr>
        <b/>
        <sz val="10"/>
        <color theme="1"/>
        <rFont val="Calibri"/>
        <family val="3"/>
        <charset val="129"/>
        <scheme val="minor"/>
      </rPr>
      <t xml:space="preserve"> &amp; D</t>
    </r>
    <r>
      <rPr>
        <b/>
        <vertAlign val="subscript"/>
        <sz val="10"/>
        <color theme="1"/>
        <rFont val="Calibri"/>
        <family val="3"/>
        <charset val="129"/>
        <scheme val="minor"/>
      </rPr>
      <t>OUT</t>
    </r>
    <r>
      <rPr>
        <b/>
        <sz val="10"/>
        <color theme="1"/>
        <rFont val="Calibri"/>
        <family val="3"/>
        <charset val="129"/>
        <scheme val="minor"/>
      </rPr>
      <t xml:space="preserve"> I</t>
    </r>
    <r>
      <rPr>
        <b/>
        <vertAlign val="subscript"/>
        <sz val="10"/>
        <color theme="1"/>
        <rFont val="Calibri"/>
        <family val="3"/>
        <charset val="129"/>
        <scheme val="minor"/>
      </rPr>
      <t>PK</t>
    </r>
    <phoneticPr fontId="1" type="noConversion"/>
  </si>
  <si>
    <r>
      <t>Max. V</t>
    </r>
    <r>
      <rPr>
        <b/>
        <vertAlign val="subscript"/>
        <sz val="10"/>
        <color theme="1"/>
        <rFont val="Calibri"/>
        <family val="3"/>
        <charset val="129"/>
        <scheme val="minor"/>
      </rPr>
      <t>CS</t>
    </r>
    <phoneticPr fontId="1" type="noConversion"/>
  </si>
  <si>
    <t>Rhold</t>
    <phoneticPr fontId="1" type="noConversion"/>
  </si>
  <si>
    <r>
      <t>R</t>
    </r>
    <r>
      <rPr>
        <b/>
        <vertAlign val="subscript"/>
        <sz val="10"/>
        <color theme="1"/>
        <rFont val="Calibri"/>
        <family val="3"/>
        <charset val="129"/>
        <scheme val="minor"/>
      </rPr>
      <t>HOLD</t>
    </r>
    <phoneticPr fontId="1" type="noConversion"/>
  </si>
  <si>
    <t>Features</t>
    <phoneticPr fontId="1" type="noConversion"/>
  </si>
  <si>
    <t>Vhold</t>
    <phoneticPr fontId="1" type="noConversion"/>
  </si>
  <si>
    <t>Wide Dimming Design</t>
    <phoneticPr fontId="1" type="noConversion"/>
  </si>
  <si>
    <t>FL7734 Phase-cut Dimming
Wide Dimming Flyback Design</t>
    <phoneticPr fontId="1" type="noConversion"/>
  </si>
  <si>
    <t>FL7734 Phase-cut Dimming
Wide Dimming Buckboost Design</t>
    <phoneticPr fontId="1" type="noConversion"/>
  </si>
  <si>
    <t>High-line</t>
    <phoneticPr fontId="1" type="noConversion"/>
  </si>
  <si>
    <t>Low-line</t>
    <phoneticPr fontId="1" type="noConversion"/>
  </si>
  <si>
    <t>Output power range</t>
    <phoneticPr fontId="1" type="noConversion"/>
  </si>
  <si>
    <t>Input voltage range</t>
    <phoneticPr fontId="1" type="noConversion"/>
  </si>
  <si>
    <t>&gt; 3 W</t>
    <phoneticPr fontId="1" type="noConversion"/>
  </si>
  <si>
    <t>&gt; 3 W</t>
    <phoneticPr fontId="1" type="noConversion"/>
  </si>
  <si>
    <t>Line</t>
    <phoneticPr fontId="1" type="noConversion"/>
  </si>
  <si>
    <t>Line</t>
    <phoneticPr fontId="1" type="noConversion"/>
  </si>
  <si>
    <t>High-line</t>
    <phoneticPr fontId="1" type="noConversion"/>
  </si>
  <si>
    <t>&gt; 15 W</t>
    <phoneticPr fontId="1" type="noConversion"/>
  </si>
  <si>
    <t>&gt; 5 W</t>
    <phoneticPr fontId="1" type="noConversion"/>
  </si>
  <si>
    <t>Input voltage range</t>
    <phoneticPr fontId="1" type="noConversion"/>
  </si>
  <si>
    <t>180~264 Vac (+/-19%)</t>
    <phoneticPr fontId="1" type="noConversion"/>
  </si>
  <si>
    <t>90~132 Vac (+/-19%)</t>
    <phoneticPr fontId="1" type="noConversion"/>
  </si>
  <si>
    <t>Wide dimming range (min. Iout &lt; 5%)
Better flicker immunity against phase angle fluctuation</t>
    <phoneticPr fontId="1" type="noConversion"/>
  </si>
  <si>
    <t>198~264 Vac (+/-14%)</t>
    <phoneticPr fontId="1" type="noConversion"/>
  </si>
  <si>
    <t>108~132 Vac (+/-10%)</t>
    <phoneticPr fontId="1" type="noConversion"/>
  </si>
  <si>
    <t>Wide input voltage range
Wide output voltage range</t>
    <phoneticPr fontId="1" type="noConversion"/>
  </si>
  <si>
    <t>FL7734 Phase-cut Dimming
Wide I/O Flyback Design</t>
    <phoneticPr fontId="1" type="noConversion"/>
  </si>
  <si>
    <t>FL7734 Phase-cut Dimming
Wide I/O Buckboost Design</t>
    <phoneticPr fontId="1" type="noConversion"/>
  </si>
  <si>
    <t>Wide Input/Output Design</t>
    <phoneticPr fontId="1" type="noConversion"/>
  </si>
  <si>
    <t>Design Selection</t>
    <phoneticPr fontId="1" type="noConversion"/>
  </si>
  <si>
    <r>
      <t>I</t>
    </r>
    <r>
      <rPr>
        <b/>
        <vertAlign val="subscript"/>
        <sz val="10"/>
        <color theme="1"/>
        <rFont val="Calibri"/>
        <family val="3"/>
        <charset val="129"/>
        <scheme val="minor"/>
      </rPr>
      <t>HOLD</t>
    </r>
    <r>
      <rPr>
        <b/>
        <sz val="10"/>
        <color theme="1"/>
        <rFont val="Calibri"/>
        <family val="3"/>
        <charset val="129"/>
        <scheme val="minor"/>
      </rPr>
      <t xml:space="preserve"> (recommended)</t>
    </r>
    <phoneticPr fontId="1" type="noConversion"/>
  </si>
  <si>
    <r>
      <t>I</t>
    </r>
    <r>
      <rPr>
        <b/>
        <vertAlign val="subscript"/>
        <sz val="10"/>
        <color theme="1"/>
        <rFont val="Calibri"/>
        <family val="3"/>
        <charset val="129"/>
        <scheme val="minor"/>
      </rPr>
      <t>HOLD</t>
    </r>
    <r>
      <rPr>
        <b/>
        <sz val="10"/>
        <color theme="1"/>
        <rFont val="Calibri"/>
        <family val="3"/>
        <charset val="129"/>
        <scheme val="minor"/>
      </rPr>
      <t xml:space="preserve"> (recommended)</t>
    </r>
    <phoneticPr fontId="1" type="noConversion"/>
  </si>
  <si>
    <t>Feedback Circuit</t>
    <phoneticPr fontId="1" type="noConversion"/>
  </si>
  <si>
    <r>
      <t>L</t>
    </r>
    <r>
      <rPr>
        <b/>
        <vertAlign val="subscript"/>
        <sz val="10"/>
        <color theme="1"/>
        <rFont val="Calibri"/>
        <family val="3"/>
        <charset val="129"/>
        <scheme val="minor"/>
      </rPr>
      <t>LK</t>
    </r>
    <phoneticPr fontId="1" type="noConversion"/>
  </si>
  <si>
    <r>
      <t>L</t>
    </r>
    <r>
      <rPr>
        <b/>
        <vertAlign val="subscript"/>
        <sz val="10"/>
        <color theme="1"/>
        <rFont val="Calibri"/>
        <family val="3"/>
        <charset val="129"/>
        <scheme val="minor"/>
      </rPr>
      <t>LK</t>
    </r>
    <phoneticPr fontId="1" type="noConversion"/>
  </si>
  <si>
    <t>CC phase angle</t>
    <phoneticPr fontId="1" type="noConversion"/>
  </si>
  <si>
    <t>CC phase angle</t>
    <phoneticPr fontId="1" type="noConversion"/>
  </si>
  <si>
    <r>
      <t>R</t>
    </r>
    <r>
      <rPr>
        <b/>
        <vertAlign val="subscript"/>
        <sz val="10"/>
        <color theme="1"/>
        <rFont val="Calibri"/>
        <family val="3"/>
        <charset val="129"/>
        <scheme val="minor"/>
      </rPr>
      <t>VIN1</t>
    </r>
    <phoneticPr fontId="1" type="noConversion"/>
  </si>
  <si>
    <r>
      <t>R</t>
    </r>
    <r>
      <rPr>
        <b/>
        <vertAlign val="subscript"/>
        <sz val="10"/>
        <color theme="1"/>
        <rFont val="Calibri"/>
        <family val="3"/>
        <charset val="129"/>
        <scheme val="minor"/>
      </rPr>
      <t>VIN1</t>
    </r>
    <phoneticPr fontId="1" type="noConversion"/>
  </si>
  <si>
    <r>
      <t>C</t>
    </r>
    <r>
      <rPr>
        <b/>
        <vertAlign val="subscript"/>
        <sz val="10"/>
        <color theme="1"/>
        <rFont val="Calibri"/>
        <family val="3"/>
        <charset val="129"/>
        <scheme val="minor"/>
      </rPr>
      <t>VS</t>
    </r>
    <phoneticPr fontId="1" type="noConversion"/>
  </si>
  <si>
    <r>
      <t>Max. I</t>
    </r>
    <r>
      <rPr>
        <b/>
        <vertAlign val="subscript"/>
        <sz val="10"/>
        <color theme="1"/>
        <rFont val="Calibri"/>
        <family val="3"/>
        <charset val="129"/>
        <scheme val="minor"/>
      </rPr>
      <t>BLD</t>
    </r>
    <r>
      <rPr>
        <b/>
        <sz val="10"/>
        <color theme="1"/>
        <rFont val="Calibri"/>
        <family val="3"/>
        <charset val="129"/>
        <scheme val="minor"/>
      </rPr>
      <t xml:space="preserve"> (upper limit)</t>
    </r>
    <phoneticPr fontId="1" type="noConversion"/>
  </si>
  <si>
    <r>
      <t>Max. I</t>
    </r>
    <r>
      <rPr>
        <b/>
        <vertAlign val="subscript"/>
        <sz val="10"/>
        <color theme="1"/>
        <rFont val="Calibri"/>
        <family val="3"/>
        <charset val="129"/>
        <scheme val="minor"/>
      </rPr>
      <t>BLD</t>
    </r>
    <r>
      <rPr>
        <b/>
        <sz val="10"/>
        <color theme="1"/>
        <rFont val="Calibri"/>
        <family val="3"/>
        <charset val="129"/>
        <scheme val="minor"/>
      </rPr>
      <t xml:space="preserve"> (upper limit)</t>
    </r>
    <phoneticPr fontId="1" type="noConversion"/>
  </si>
  <si>
    <r>
      <t>R</t>
    </r>
    <r>
      <rPr>
        <b/>
        <vertAlign val="subscript"/>
        <sz val="10"/>
        <color theme="1"/>
        <rFont val="Calibri"/>
        <family val="3"/>
        <charset val="129"/>
        <scheme val="minor"/>
      </rPr>
      <t>BLEEDER</t>
    </r>
    <phoneticPr fontId="1" type="noConversion"/>
  </si>
  <si>
    <r>
      <t>R</t>
    </r>
    <r>
      <rPr>
        <b/>
        <vertAlign val="subscript"/>
        <sz val="10"/>
        <color theme="1"/>
        <rFont val="Calibri"/>
        <family val="3"/>
        <charset val="129"/>
        <scheme val="minor"/>
      </rPr>
      <t>OFFSET</t>
    </r>
    <phoneticPr fontId="1" type="noConversion"/>
  </si>
  <si>
    <r>
      <t>C</t>
    </r>
    <r>
      <rPr>
        <b/>
        <vertAlign val="subscript"/>
        <sz val="10"/>
        <color theme="1"/>
        <rFont val="Calibri"/>
        <family val="3"/>
        <charset val="129"/>
        <scheme val="minor"/>
      </rPr>
      <t>IN2</t>
    </r>
    <phoneticPr fontId="1" type="noConversion"/>
  </si>
  <si>
    <t>Roffset calculation</t>
    <phoneticPr fontId="1" type="noConversion"/>
  </si>
  <si>
    <t>Cin2</t>
    <phoneticPr fontId="1" type="noConversion"/>
  </si>
  <si>
    <t>Vcs.pk.ini</t>
    <phoneticPr fontId="1" type="noConversion"/>
  </si>
  <si>
    <t>Vin.ini</t>
    <phoneticPr fontId="1" type="noConversion"/>
  </si>
  <si>
    <t>V</t>
    <phoneticPr fontId="1" type="noConversion"/>
  </si>
  <si>
    <t>kΩ</t>
    <phoneticPr fontId="1" type="noConversion"/>
  </si>
  <si>
    <r>
      <t>Min. R</t>
    </r>
    <r>
      <rPr>
        <b/>
        <vertAlign val="subscript"/>
        <sz val="10"/>
        <color theme="1"/>
        <rFont val="Calibri"/>
        <family val="3"/>
        <charset val="129"/>
        <scheme val="minor"/>
      </rPr>
      <t>RBLD</t>
    </r>
    <phoneticPr fontId="1" type="noConversion"/>
  </si>
  <si>
    <r>
      <t>R</t>
    </r>
    <r>
      <rPr>
        <b/>
        <vertAlign val="subscript"/>
        <sz val="10"/>
        <color theme="1"/>
        <rFont val="Calibri"/>
        <family val="3"/>
        <charset val="129"/>
        <scheme val="minor"/>
      </rPr>
      <t>RBLD</t>
    </r>
    <phoneticPr fontId="1" type="noConversion"/>
  </si>
  <si>
    <t>Ω</t>
    <phoneticPr fontId="1" type="noConversion"/>
  </si>
  <si>
    <r>
      <t>R</t>
    </r>
    <r>
      <rPr>
        <vertAlign val="subscript"/>
        <sz val="10"/>
        <color theme="0"/>
        <rFont val="Calibri"/>
        <family val="3"/>
        <charset val="129"/>
        <scheme val="minor"/>
      </rPr>
      <t>CS</t>
    </r>
    <r>
      <rPr>
        <sz val="10"/>
        <color theme="0"/>
        <rFont val="Calibri"/>
        <family val="3"/>
        <charset val="129"/>
        <scheme val="minor"/>
      </rPr>
      <t xml:space="preserve"> (initial)</t>
    </r>
    <phoneticPr fontId="1" type="noConversion"/>
  </si>
  <si>
    <r>
      <t>V</t>
    </r>
    <r>
      <rPr>
        <vertAlign val="subscript"/>
        <sz val="10"/>
        <color theme="0"/>
        <rFont val="Calibri"/>
        <family val="3"/>
        <charset val="129"/>
        <scheme val="minor"/>
      </rPr>
      <t>FB.BOUND</t>
    </r>
    <phoneticPr fontId="1" type="noConversion"/>
  </si>
  <si>
    <r>
      <t>Np, n</t>
    </r>
    <r>
      <rPr>
        <b/>
        <vertAlign val="subscript"/>
        <sz val="10"/>
        <color theme="0"/>
        <rFont val="Calibri"/>
        <family val="3"/>
        <charset val="129"/>
        <scheme val="minor"/>
      </rPr>
      <t>ps</t>
    </r>
    <r>
      <rPr>
        <b/>
        <sz val="10"/>
        <color theme="0"/>
        <rFont val="Calibri"/>
        <family val="3"/>
        <charset val="129"/>
        <scheme val="minor"/>
      </rPr>
      <t xml:space="preserve"> calculation</t>
    </r>
    <phoneticPr fontId="1" type="noConversion"/>
  </si>
  <si>
    <r>
      <t>m</t>
    </r>
    <r>
      <rPr>
        <vertAlign val="superscript"/>
        <sz val="10"/>
        <color theme="0"/>
        <rFont val="Calibri"/>
        <family val="3"/>
        <charset val="129"/>
        <scheme val="minor"/>
      </rPr>
      <t>2</t>
    </r>
    <phoneticPr fontId="1" type="noConversion"/>
  </si>
  <si>
    <r>
      <t>n</t>
    </r>
    <r>
      <rPr>
        <vertAlign val="subscript"/>
        <sz val="10"/>
        <color theme="0"/>
        <rFont val="Calibri"/>
        <family val="3"/>
        <charset val="129"/>
        <scheme val="minor"/>
      </rPr>
      <t>PS</t>
    </r>
    <r>
      <rPr>
        <sz val="10"/>
        <color theme="0"/>
        <rFont val="Calibri"/>
        <family val="3"/>
        <charset val="129"/>
        <scheme val="minor"/>
      </rPr>
      <t xml:space="preserve"> (initial)</t>
    </r>
    <phoneticPr fontId="1" type="noConversion"/>
  </si>
  <si>
    <r>
      <t>n</t>
    </r>
    <r>
      <rPr>
        <vertAlign val="subscript"/>
        <sz val="10"/>
        <color theme="0"/>
        <rFont val="Calibri"/>
        <family val="3"/>
        <charset val="129"/>
        <scheme val="minor"/>
      </rPr>
      <t>PS</t>
    </r>
    <r>
      <rPr>
        <sz val="10"/>
        <color theme="0"/>
        <rFont val="Calibri"/>
        <family val="3"/>
        <charset val="129"/>
        <scheme val="minor"/>
      </rPr>
      <t xml:space="preserve"> (final)</t>
    </r>
    <phoneticPr fontId="1" type="noConversion"/>
  </si>
  <si>
    <r>
      <t>n</t>
    </r>
    <r>
      <rPr>
        <vertAlign val="subscript"/>
        <sz val="10"/>
        <color theme="0"/>
        <rFont val="Calibri"/>
        <family val="3"/>
        <charset val="129"/>
        <scheme val="minor"/>
      </rPr>
      <t>AS</t>
    </r>
    <r>
      <rPr>
        <sz val="10"/>
        <color theme="0"/>
        <rFont val="Calibri"/>
        <family val="3"/>
        <charset val="129"/>
        <scheme val="minor"/>
      </rPr>
      <t xml:space="preserve"> (initial)</t>
    </r>
    <phoneticPr fontId="1" type="noConversion"/>
  </si>
  <si>
    <r>
      <t>n</t>
    </r>
    <r>
      <rPr>
        <vertAlign val="subscript"/>
        <sz val="10"/>
        <color theme="0"/>
        <rFont val="Calibri"/>
        <family val="3"/>
        <charset val="129"/>
        <scheme val="minor"/>
      </rPr>
      <t>AS</t>
    </r>
    <r>
      <rPr>
        <sz val="10"/>
        <color theme="0"/>
        <rFont val="Calibri"/>
        <family val="3"/>
        <charset val="129"/>
        <scheme val="minor"/>
      </rPr>
      <t xml:space="preserve"> (final)</t>
    </r>
    <phoneticPr fontId="1" type="noConversion"/>
  </si>
  <si>
    <r>
      <t>n</t>
    </r>
    <r>
      <rPr>
        <vertAlign val="subscript"/>
        <sz val="10"/>
        <color theme="0"/>
        <rFont val="Calibri"/>
        <family val="3"/>
        <charset val="129"/>
        <scheme val="minor"/>
      </rPr>
      <t>AP</t>
    </r>
    <r>
      <rPr>
        <sz val="10"/>
        <color theme="0"/>
        <rFont val="Calibri"/>
        <family val="3"/>
        <charset val="129"/>
        <scheme val="minor"/>
      </rPr>
      <t xml:space="preserve"> (initial)</t>
    </r>
    <phoneticPr fontId="1" type="noConversion"/>
  </si>
  <si>
    <r>
      <t>n</t>
    </r>
    <r>
      <rPr>
        <vertAlign val="subscript"/>
        <sz val="10"/>
        <color theme="0"/>
        <rFont val="Calibri"/>
        <family val="3"/>
        <charset val="129"/>
        <scheme val="minor"/>
      </rPr>
      <t>AP</t>
    </r>
    <r>
      <rPr>
        <sz val="10"/>
        <color theme="0"/>
        <rFont val="Calibri"/>
        <family val="3"/>
        <charset val="129"/>
        <scheme val="minor"/>
      </rPr>
      <t xml:space="preserve"> (final)</t>
    </r>
    <phoneticPr fontId="1" type="noConversion"/>
  </si>
  <si>
    <t>Input spec</t>
    <phoneticPr fontId="1" type="noConversion"/>
  </si>
  <si>
    <t>Transformer design</t>
    <phoneticPr fontId="1" type="noConversion"/>
  </si>
  <si>
    <t>Feedback calculation</t>
    <phoneticPr fontId="1" type="noConversion"/>
  </si>
  <si>
    <t>VIN circuit calculation</t>
    <phoneticPr fontId="1" type="noConversion"/>
  </si>
  <si>
    <t>peak Vin at min. Vin</t>
    <phoneticPr fontId="1" type="noConversion"/>
  </si>
  <si>
    <t>V</t>
    <phoneticPr fontId="1" type="noConversion"/>
  </si>
  <si>
    <t>Switching freq. (ND)</t>
    <phoneticPr fontId="1" type="noConversion"/>
  </si>
  <si>
    <t>Hz</t>
    <phoneticPr fontId="1" type="noConversion"/>
  </si>
  <si>
    <t>Rcomp.int</t>
    <phoneticPr fontId="1" type="noConversion"/>
  </si>
  <si>
    <t>center Vin peak</t>
    <phoneticPr fontId="1" type="noConversion"/>
  </si>
  <si>
    <t>peak Vin</t>
    <phoneticPr fontId="1" type="noConversion"/>
  </si>
  <si>
    <t>Switching period (ND)</t>
    <phoneticPr fontId="1" type="noConversion"/>
  </si>
  <si>
    <t>s</t>
    <phoneticPr fontId="1" type="noConversion"/>
  </si>
  <si>
    <t>Tgate.off.pd</t>
    <phoneticPr fontId="1" type="noConversion"/>
  </si>
  <si>
    <t>Peak VIN at center Vin</t>
    <phoneticPr fontId="1" type="noConversion"/>
  </si>
  <si>
    <t>peak Vin at max. Vin</t>
    <phoneticPr fontId="1" type="noConversion"/>
  </si>
  <si>
    <t>Switching freq. (D)</t>
    <phoneticPr fontId="1" type="noConversion"/>
  </si>
  <si>
    <t>Rcomp.total</t>
    <phoneticPr fontId="1" type="noConversion"/>
  </si>
  <si>
    <t>Rvin1 (selected)</t>
    <phoneticPr fontId="1" type="noConversion"/>
  </si>
  <si>
    <t>mean Vin</t>
    <phoneticPr fontId="1" type="noConversion"/>
  </si>
  <si>
    <t>Switching period (D)</t>
    <phoneticPr fontId="1" type="noConversion"/>
  </si>
  <si>
    <t>Vvs.ovp</t>
    <phoneticPr fontId="1" type="noConversion"/>
  </si>
  <si>
    <t>Rvin2</t>
    <phoneticPr fontId="1" type="noConversion"/>
  </si>
  <si>
    <t>Half line period</t>
    <phoneticPr fontId="1" type="noConversion"/>
  </si>
  <si>
    <t>Lm</t>
    <phoneticPr fontId="1" type="noConversion"/>
  </si>
  <si>
    <t>H</t>
    <phoneticPr fontId="1" type="noConversion"/>
  </si>
  <si>
    <t>Vf</t>
    <phoneticPr fontId="1" type="noConversion"/>
  </si>
  <si>
    <t>rvin</t>
    <phoneticPr fontId="1" type="noConversion"/>
  </si>
  <si>
    <t>Rated Iout</t>
    <phoneticPr fontId="1" type="noConversion"/>
  </si>
  <si>
    <t>A</t>
    <phoneticPr fontId="1" type="noConversion"/>
  </si>
  <si>
    <t>Ipk at non-dim (DCM)</t>
    <phoneticPr fontId="1" type="noConversion"/>
  </si>
  <si>
    <t>Ivs.bnk</t>
    <phoneticPr fontId="1" type="noConversion"/>
  </si>
  <si>
    <t>IVC circuit calculation</t>
    <phoneticPr fontId="1" type="noConversion"/>
  </si>
  <si>
    <t>Efficiency</t>
    <phoneticPr fontId="1" type="noConversion"/>
  </si>
  <si>
    <t>Max. Ton at non-dim</t>
    <phoneticPr fontId="1" type="noConversion"/>
  </si>
  <si>
    <t>s</t>
    <phoneticPr fontId="1" type="noConversion"/>
  </si>
  <si>
    <t>Vin.bnk (ND.MODE)</t>
    <phoneticPr fontId="1" type="noConversion"/>
  </si>
  <si>
    <t>V</t>
    <phoneticPr fontId="1" type="noConversion"/>
  </si>
  <si>
    <t>Ctotal</t>
    <phoneticPr fontId="1" type="noConversion"/>
  </si>
  <si>
    <t>F</t>
    <phoneticPr fontId="1" type="noConversion"/>
  </si>
  <si>
    <t>Pin</t>
    <phoneticPr fontId="1" type="noConversion"/>
  </si>
  <si>
    <t>W</t>
    <phoneticPr fontId="1" type="noConversion"/>
  </si>
  <si>
    <t>Ipk at non-dim (DCM)</t>
    <phoneticPr fontId="1" type="noConversion"/>
  </si>
  <si>
    <t>A</t>
    <phoneticPr fontId="1" type="noConversion"/>
  </si>
  <si>
    <t>Vin.bnk (D.MODE)</t>
    <phoneticPr fontId="1" type="noConversion"/>
  </si>
  <si>
    <t>Vin.ivc.pk</t>
    <phoneticPr fontId="1" type="noConversion"/>
  </si>
  <si>
    <t>Dimmer spec</t>
    <phoneticPr fontId="1" type="noConversion"/>
  </si>
  <si>
    <t>Ipk at dim (DCM)</t>
    <phoneticPr fontId="1" type="noConversion"/>
  </si>
  <si>
    <t>Vin.bnk.final</t>
    <phoneticPr fontId="1" type="noConversion"/>
  </si>
  <si>
    <t>A.ivc.start</t>
    <phoneticPr fontId="1" type="noConversion"/>
  </si>
  <si>
    <t>°</t>
    <phoneticPr fontId="1" type="noConversion"/>
  </si>
  <si>
    <t>Ihold (recommended)</t>
    <phoneticPr fontId="1" type="noConversion"/>
  </si>
  <si>
    <t>Rvs1</t>
    <phoneticPr fontId="1" type="noConversion"/>
  </si>
  <si>
    <t>Ω</t>
    <phoneticPr fontId="1" type="noConversion"/>
  </si>
  <si>
    <t>Vin.ivc.start</t>
    <phoneticPr fontId="1" type="noConversion"/>
  </si>
  <si>
    <t>Ihold : Min. Iin@D.MODE</t>
    <phoneticPr fontId="1" type="noConversion"/>
  </si>
  <si>
    <t>Ipk.max(DCM)</t>
    <phoneticPr fontId="1" type="noConversion"/>
  </si>
  <si>
    <t>Rvs2</t>
    <phoneticPr fontId="1" type="noConversion"/>
  </si>
  <si>
    <t>T.ivc.start</t>
    <phoneticPr fontId="1" type="noConversion"/>
  </si>
  <si>
    <t>Iin (min.Vin, max. PA)</t>
    <phoneticPr fontId="1" type="noConversion"/>
  </si>
  <si>
    <t>Ipk.max (DCM)</t>
    <phoneticPr fontId="1" type="noConversion"/>
  </si>
  <si>
    <t>Tdis.max</t>
    <phoneticPr fontId="1" type="noConversion"/>
  </si>
  <si>
    <t>T.ivc.stop</t>
    <phoneticPr fontId="1" type="noConversion"/>
  </si>
  <si>
    <t>Iin (min.Vin, 180 PA)</t>
    <phoneticPr fontId="1" type="noConversion"/>
  </si>
  <si>
    <t>Ipk at dim (BCM)</t>
    <phoneticPr fontId="1" type="noConversion"/>
  </si>
  <si>
    <t>HOLD circuit calculation</t>
    <phoneticPr fontId="1" type="noConversion"/>
  </si>
  <si>
    <t>Vin.ivc.clamp</t>
    <phoneticPr fontId="1" type="noConversion"/>
  </si>
  <si>
    <t>Iin (mean.Vin, max. PA)</t>
    <phoneticPr fontId="1" type="noConversion"/>
  </si>
  <si>
    <t>KICC.HOLD</t>
    <phoneticPr fontId="1" type="noConversion"/>
  </si>
  <si>
    <t>T.ivc.clamp</t>
    <phoneticPr fontId="1" type="noConversion"/>
  </si>
  <si>
    <t>Iin (mean.Vin, 180 PA)</t>
    <phoneticPr fontId="1" type="noConversion"/>
  </si>
  <si>
    <t>Ton at dim (BCM)</t>
    <phoneticPr fontId="1" type="noConversion"/>
  </si>
  <si>
    <t>Rhold</t>
    <phoneticPr fontId="1" type="noConversion"/>
  </si>
  <si>
    <t>RRIVC calculation</t>
    <phoneticPr fontId="1" type="noConversion"/>
  </si>
  <si>
    <t>Ts at dim (BCM)</t>
    <phoneticPr fontId="1" type="noConversion"/>
  </si>
  <si>
    <t>Vhold</t>
    <phoneticPr fontId="1" type="noConversion"/>
  </si>
  <si>
    <t>V</t>
    <phoneticPr fontId="1" type="noConversion"/>
  </si>
  <si>
    <t>Q(Ctotal)</t>
    <phoneticPr fontId="1" type="noConversion"/>
  </si>
  <si>
    <t>C</t>
    <phoneticPr fontId="1" type="noConversion"/>
  </si>
  <si>
    <t>Freq at dim (BCM)</t>
    <phoneticPr fontId="1" type="noConversion"/>
  </si>
  <si>
    <t>Hz</t>
    <phoneticPr fontId="1" type="noConversion"/>
  </si>
  <si>
    <t>D.ICC tolerance</t>
    <phoneticPr fontId="1" type="noConversion"/>
  </si>
  <si>
    <t>Q(FLY)</t>
    <phoneticPr fontId="1" type="noConversion"/>
  </si>
  <si>
    <t xml:space="preserve">Ipk.max.final </t>
    <phoneticPr fontId="1" type="noConversion"/>
  </si>
  <si>
    <t>Vf at room temp.</t>
    <phoneticPr fontId="1" type="noConversion"/>
  </si>
  <si>
    <t>A(VRIVC)</t>
    <phoneticPr fontId="1" type="noConversion"/>
  </si>
  <si>
    <t>V x s</t>
    <phoneticPr fontId="1" type="noConversion"/>
  </si>
  <si>
    <t>Vf.min.yield</t>
    <phoneticPr fontId="1" type="noConversion"/>
  </si>
  <si>
    <t>RRIVC</t>
    <phoneticPr fontId="1" type="noConversion"/>
  </si>
  <si>
    <r>
      <t>Np, n</t>
    </r>
    <r>
      <rPr>
        <b/>
        <vertAlign val="subscript"/>
        <sz val="10"/>
        <color theme="0"/>
        <rFont val="Calibri"/>
        <family val="3"/>
        <charset val="129"/>
        <scheme val="minor"/>
      </rPr>
      <t>ps</t>
    </r>
    <r>
      <rPr>
        <b/>
        <sz val="10"/>
        <color theme="0"/>
        <rFont val="Calibri"/>
        <family val="3"/>
        <charset val="129"/>
        <scheme val="minor"/>
      </rPr>
      <t xml:space="preserve"> calculation</t>
    </r>
    <phoneticPr fontId="1" type="noConversion"/>
  </si>
  <si>
    <t>Vf.max.yield</t>
    <phoneticPr fontId="1" type="noConversion"/>
  </si>
  <si>
    <t>MIVC circuit calculation</t>
    <phoneticPr fontId="1" type="noConversion"/>
  </si>
  <si>
    <t>Ae</t>
    <phoneticPr fontId="1" type="noConversion"/>
  </si>
  <si>
    <r>
      <t>m</t>
    </r>
    <r>
      <rPr>
        <vertAlign val="superscript"/>
        <sz val="10"/>
        <color theme="0"/>
        <rFont val="Calibri"/>
        <family val="3"/>
        <charset val="129"/>
        <scheme val="minor"/>
      </rPr>
      <t>2</t>
    </r>
    <phoneticPr fontId="1" type="noConversion"/>
  </si>
  <si>
    <t>Vf.min.yield+temp</t>
    <phoneticPr fontId="1" type="noConversion"/>
  </si>
  <si>
    <t>ICAP.DIS.MAX</t>
    <phoneticPr fontId="1" type="noConversion"/>
  </si>
  <si>
    <t>KEAI</t>
    <phoneticPr fontId="1" type="noConversion"/>
  </si>
  <si>
    <t>Vf.max.yield+temp</t>
    <phoneticPr fontId="1" type="noConversion"/>
  </si>
  <si>
    <t>Max IVC current</t>
    <phoneticPr fontId="1" type="noConversion"/>
  </si>
  <si>
    <t>Vref</t>
    <phoneticPr fontId="1" type="noConversion"/>
  </si>
  <si>
    <t>min. FB @ max. PA and max. Vin</t>
    <phoneticPr fontId="1" type="noConversion"/>
  </si>
  <si>
    <t>Roffset calculation</t>
    <phoneticPr fontId="1" type="noConversion"/>
  </si>
  <si>
    <r>
      <t>n</t>
    </r>
    <r>
      <rPr>
        <vertAlign val="subscript"/>
        <sz val="10"/>
        <color theme="0"/>
        <rFont val="Calibri"/>
        <family val="3"/>
        <charset val="129"/>
        <scheme val="minor"/>
      </rPr>
      <t>AP</t>
    </r>
    <r>
      <rPr>
        <sz val="10"/>
        <color theme="0"/>
        <rFont val="Calibri"/>
        <family val="3"/>
        <charset val="129"/>
        <scheme val="minor"/>
      </rPr>
      <t xml:space="preserve"> (initial)</t>
    </r>
    <phoneticPr fontId="1" type="noConversion"/>
  </si>
  <si>
    <t>Iin maxVin.180PA.woOTC</t>
    <phoneticPr fontId="1" type="noConversion"/>
  </si>
  <si>
    <t>Cin2</t>
    <phoneticPr fontId="1" type="noConversion"/>
  </si>
  <si>
    <r>
      <t>n</t>
    </r>
    <r>
      <rPr>
        <vertAlign val="subscript"/>
        <sz val="10"/>
        <color theme="0"/>
        <rFont val="Calibri"/>
        <family val="3"/>
        <charset val="129"/>
        <scheme val="minor"/>
      </rPr>
      <t>AP</t>
    </r>
    <r>
      <rPr>
        <sz val="10"/>
        <color theme="0"/>
        <rFont val="Calibri"/>
        <family val="3"/>
        <charset val="129"/>
        <scheme val="minor"/>
      </rPr>
      <t xml:space="preserve"> (final)</t>
    </r>
    <phoneticPr fontId="1" type="noConversion"/>
  </si>
  <si>
    <t>VFB.maxVin.180PA.woOTC</t>
    <phoneticPr fontId="1" type="noConversion"/>
  </si>
  <si>
    <t>Vin.ini</t>
    <phoneticPr fontId="1" type="noConversion"/>
  </si>
  <si>
    <t>Power device rating</t>
    <phoneticPr fontId="1" type="noConversion"/>
  </si>
  <si>
    <t>VFB.min.final</t>
    <phoneticPr fontId="1" type="noConversion"/>
  </si>
  <si>
    <t>Vcs.pk.ini</t>
    <phoneticPr fontId="1" type="noConversion"/>
  </si>
  <si>
    <t>RMS I(SW_MAIN)</t>
    <phoneticPr fontId="1" type="noConversion"/>
  </si>
  <si>
    <t>DIM circuit calculation</t>
    <phoneticPr fontId="1" type="noConversion"/>
  </si>
  <si>
    <t>Rdim.total</t>
    <phoneticPr fontId="1" type="noConversion"/>
  </si>
  <si>
    <t>rdim</t>
    <phoneticPr fontId="1" type="noConversion"/>
  </si>
  <si>
    <t>Rdim1</t>
    <phoneticPr fontId="1" type="noConversion"/>
  </si>
  <si>
    <t>Rdim2</t>
    <phoneticPr fontId="1" type="noConversion"/>
  </si>
  <si>
    <t>Cdim</t>
    <phoneticPr fontId="1" type="noConversion"/>
  </si>
  <si>
    <r>
      <t xml:space="preserve">FL7734 Phase-cut Dimming Driver Design Guidance
</t>
    </r>
    <r>
      <rPr>
        <b/>
        <sz val="12"/>
        <color theme="6" tint="0.79998168889431442"/>
        <rFont val="Calibri"/>
        <family val="3"/>
        <charset val="129"/>
        <scheme val="minor"/>
      </rPr>
      <t>Rev. 1.0.0 (2015-01-21)</t>
    </r>
    <phoneticPr fontId="1" type="noConversion"/>
  </si>
  <si>
    <r>
      <t>R</t>
    </r>
    <r>
      <rPr>
        <b/>
        <vertAlign val="subscript"/>
        <sz val="10"/>
        <color theme="1"/>
        <rFont val="Calibri"/>
        <family val="3"/>
        <charset val="129"/>
        <scheme val="minor"/>
      </rPr>
      <t>BIAS1</t>
    </r>
    <phoneticPr fontId="1" type="noConversion"/>
  </si>
  <si>
    <r>
      <t>V</t>
    </r>
    <r>
      <rPr>
        <b/>
        <vertAlign val="subscript"/>
        <sz val="10"/>
        <color theme="1"/>
        <rFont val="Calibri"/>
        <family val="3"/>
        <charset val="129"/>
        <scheme val="minor"/>
      </rPr>
      <t>ZD.DP1</t>
    </r>
    <phoneticPr fontId="1" type="noConversion"/>
  </si>
  <si>
    <t>Go to Wide Dimming Flyback Design</t>
    <phoneticPr fontId="1" type="noConversion"/>
  </si>
  <si>
    <t>Go to Wide Dimming Buckboost Design</t>
    <phoneticPr fontId="1" type="noConversion"/>
  </si>
  <si>
    <t>Go to Wide I/O Flyback Design</t>
    <phoneticPr fontId="1" type="noConversion"/>
  </si>
  <si>
    <t>Go to Wide I/O Buckboost Design</t>
    <phoneticPr fontId="1" type="noConversion"/>
  </si>
</sst>
</file>

<file path=xl/styles.xml><?xml version="1.0" encoding="utf-8"?>
<styleSheet xmlns="http://schemas.openxmlformats.org/spreadsheetml/2006/main">
  <numFmts count="7">
    <numFmt numFmtId="164" formatCode="0.00_ "/>
    <numFmt numFmtId="165" formatCode="0.0_ "/>
    <numFmt numFmtId="166" formatCode="0_);[Red]\(0\)"/>
    <numFmt numFmtId="167" formatCode="0.0_);[Red]\(0.0\)"/>
    <numFmt numFmtId="168" formatCode="0_ "/>
    <numFmt numFmtId="169" formatCode="0.00_);[Red]\(0.00\)"/>
    <numFmt numFmtId="170" formatCode="0.000_ "/>
  </numFmts>
  <fonts count="40">
    <font>
      <sz val="11"/>
      <color theme="1"/>
      <name val="Calibri"/>
      <family val="2"/>
      <charset val="129"/>
      <scheme val="minor"/>
    </font>
    <font>
      <sz val="8"/>
      <name val="Calibri"/>
      <family val="2"/>
      <charset val="129"/>
      <scheme val="minor"/>
    </font>
    <font>
      <b/>
      <sz val="10"/>
      <color theme="1"/>
      <name val="Calibri"/>
      <family val="3"/>
      <charset val="129"/>
      <scheme val="minor"/>
    </font>
    <font>
      <b/>
      <sz val="11"/>
      <color theme="1"/>
      <name val="Calibri"/>
      <family val="3"/>
      <charset val="129"/>
      <scheme val="minor"/>
    </font>
    <font>
      <sz val="10"/>
      <color theme="1"/>
      <name val="Calibri"/>
      <family val="2"/>
      <charset val="129"/>
      <scheme val="minor"/>
    </font>
    <font>
      <sz val="10"/>
      <color theme="1"/>
      <name val="Calibri"/>
      <family val="3"/>
      <charset val="129"/>
      <scheme val="minor"/>
    </font>
    <font>
      <sz val="10"/>
      <color theme="1"/>
      <name val="맑은 고딕"/>
      <family val="3"/>
      <charset val="129"/>
    </font>
    <font>
      <b/>
      <sz val="12"/>
      <color rgb="FFFFC000"/>
      <name val="Calibri"/>
      <family val="3"/>
      <charset val="129"/>
      <scheme val="minor"/>
    </font>
    <font>
      <b/>
      <vertAlign val="subscript"/>
      <sz val="10"/>
      <color theme="1"/>
      <name val="Calibri"/>
      <family val="3"/>
      <charset val="129"/>
      <scheme val="minor"/>
    </font>
    <font>
      <b/>
      <sz val="10"/>
      <color rgb="FF0000FF"/>
      <name val="Calibri"/>
      <family val="3"/>
      <charset val="129"/>
      <scheme val="minor"/>
    </font>
    <font>
      <b/>
      <sz val="10"/>
      <color rgb="FFFF0000"/>
      <name val="Calibri"/>
      <family val="3"/>
      <charset val="129"/>
      <scheme val="minor"/>
    </font>
    <font>
      <b/>
      <sz val="10"/>
      <color theme="1"/>
      <name val="맑은 고딕"/>
      <family val="3"/>
      <charset val="129"/>
    </font>
    <font>
      <b/>
      <vertAlign val="superscript"/>
      <sz val="10"/>
      <color theme="1"/>
      <name val="Calibri"/>
      <family val="3"/>
      <charset val="129"/>
      <scheme val="minor"/>
    </font>
    <font>
      <b/>
      <sz val="9"/>
      <color indexed="81"/>
      <name val="Tahoma"/>
      <family val="2"/>
    </font>
    <font>
      <sz val="9"/>
      <color indexed="81"/>
      <name val="Tahoma"/>
      <family val="2"/>
    </font>
    <font>
      <b/>
      <vertAlign val="subscript"/>
      <sz val="10"/>
      <color theme="1"/>
      <name val="맑은 고딕"/>
      <family val="3"/>
      <charset val="129"/>
    </font>
    <font>
      <sz val="11"/>
      <color theme="0"/>
      <name val="Calibri"/>
      <family val="2"/>
      <charset val="129"/>
      <scheme val="minor"/>
    </font>
    <font>
      <b/>
      <sz val="9"/>
      <color indexed="81"/>
      <name val="돋움"/>
      <family val="3"/>
      <charset val="129"/>
    </font>
    <font>
      <sz val="11"/>
      <color theme="0"/>
      <name val="Calibri"/>
      <family val="3"/>
      <charset val="129"/>
      <scheme val="minor"/>
    </font>
    <font>
      <sz val="11"/>
      <name val="Calibri"/>
      <family val="3"/>
      <charset val="129"/>
      <scheme val="minor"/>
    </font>
    <font>
      <b/>
      <sz val="11"/>
      <color theme="4" tint="-0.499984740745262"/>
      <name val="Calibri"/>
      <family val="3"/>
      <charset val="129"/>
      <scheme val="minor"/>
    </font>
    <font>
      <u/>
      <sz val="12.65"/>
      <color theme="10"/>
      <name val="맑은 고딕"/>
      <family val="3"/>
      <charset val="129"/>
    </font>
    <font>
      <b/>
      <sz val="11"/>
      <color theme="9" tint="-0.499984740745262"/>
      <name val="Calibri"/>
      <family val="3"/>
      <charset val="129"/>
      <scheme val="minor"/>
    </font>
    <font>
      <b/>
      <u/>
      <sz val="11"/>
      <color theme="4" tint="0.79998168889431442"/>
      <name val="Calibri"/>
      <family val="3"/>
      <charset val="129"/>
      <scheme val="minor"/>
    </font>
    <font>
      <b/>
      <u/>
      <sz val="11"/>
      <color theme="9" tint="0.79998168889431442"/>
      <name val="Calibri"/>
      <family val="3"/>
      <charset val="129"/>
      <scheme val="minor"/>
    </font>
    <font>
      <b/>
      <sz val="11"/>
      <color theme="0"/>
      <name val="Calibri"/>
      <family val="3"/>
      <charset val="129"/>
      <scheme val="minor"/>
    </font>
    <font>
      <b/>
      <sz val="13"/>
      <color theme="4" tint="0.79998168889431442"/>
      <name val="Calibri"/>
      <family val="3"/>
      <charset val="129"/>
      <scheme val="minor"/>
    </font>
    <font>
      <b/>
      <sz val="13"/>
      <color theme="9" tint="0.79998168889431442"/>
      <name val="Calibri"/>
      <family val="3"/>
      <charset val="129"/>
      <scheme val="minor"/>
    </font>
    <font>
      <b/>
      <sz val="15"/>
      <color theme="6" tint="0.79998168889431442"/>
      <name val="Calibri"/>
      <family val="3"/>
      <charset val="129"/>
      <scheme val="minor"/>
    </font>
    <font>
      <b/>
      <sz val="12"/>
      <color theme="6" tint="0.79998168889431442"/>
      <name val="Calibri"/>
      <family val="3"/>
      <charset val="129"/>
      <scheme val="minor"/>
    </font>
    <font>
      <b/>
      <sz val="10"/>
      <color theme="0"/>
      <name val="Calibri"/>
      <family val="2"/>
      <charset val="129"/>
      <scheme val="minor"/>
    </font>
    <font>
      <b/>
      <sz val="10"/>
      <color theme="0"/>
      <name val="Calibri"/>
      <family val="3"/>
      <charset val="129"/>
      <scheme val="minor"/>
    </font>
    <font>
      <sz val="10"/>
      <color theme="0"/>
      <name val="Calibri"/>
      <family val="3"/>
      <charset val="129"/>
      <scheme val="minor"/>
    </font>
    <font>
      <vertAlign val="subscript"/>
      <sz val="10"/>
      <color theme="0"/>
      <name val="Calibri"/>
      <family val="3"/>
      <charset val="129"/>
      <scheme val="minor"/>
    </font>
    <font>
      <sz val="10"/>
      <color theme="0"/>
      <name val="맑은 고딕"/>
      <family val="3"/>
      <charset val="129"/>
    </font>
    <font>
      <b/>
      <vertAlign val="subscript"/>
      <sz val="10"/>
      <color theme="0"/>
      <name val="Calibri"/>
      <family val="3"/>
      <charset val="129"/>
      <scheme val="minor"/>
    </font>
    <font>
      <vertAlign val="superscript"/>
      <sz val="10"/>
      <color theme="0"/>
      <name val="Calibri"/>
      <family val="3"/>
      <charset val="129"/>
      <scheme val="minor"/>
    </font>
    <font>
      <b/>
      <sz val="11"/>
      <color theme="4" tint="0.79998168889431442"/>
      <name val="맑은 고딕"/>
      <family val="3"/>
      <charset val="129"/>
    </font>
    <font>
      <sz val="11"/>
      <color theme="9" tint="0.79998168889431442"/>
      <name val="Calibri"/>
      <family val="2"/>
      <charset val="129"/>
      <scheme val="minor"/>
    </font>
    <font>
      <b/>
      <sz val="11"/>
      <color theme="9" tint="0.79998168889431442"/>
      <name val="맑은 고딕"/>
      <family val="3"/>
      <charset val="129"/>
    </font>
  </fonts>
  <fills count="11">
    <fill>
      <patternFill patternType="none"/>
    </fill>
    <fill>
      <patternFill patternType="gray125"/>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39994506668294322"/>
        <bgColor indexed="64"/>
      </patternFill>
    </fill>
    <fill>
      <patternFill patternType="solid">
        <fgColor theme="0"/>
        <bgColor indexed="64"/>
      </patternFill>
    </fill>
    <fill>
      <patternFill patternType="solid">
        <fgColor theme="9" tint="-0.499984740745262"/>
        <bgColor indexed="64"/>
      </patternFill>
    </fill>
    <fill>
      <patternFill patternType="solid">
        <fgColor theme="6" tint="-0.499984740745262"/>
        <bgColor indexed="64"/>
      </patternFill>
    </fill>
  </fills>
  <borders count="18">
    <border>
      <left/>
      <right/>
      <top/>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0"/>
      </left>
      <right style="thin">
        <color theme="0"/>
      </right>
      <top/>
      <bottom/>
      <diagonal/>
    </border>
  </borders>
  <cellStyleXfs count="2">
    <xf numFmtId="0" fontId="0" fillId="0" borderId="0">
      <alignment vertical="center"/>
    </xf>
    <xf numFmtId="0" fontId="21" fillId="0" borderId="0" applyNumberFormat="0" applyFill="0" applyBorder="0" applyAlignment="0" applyProtection="0">
      <alignment vertical="top"/>
      <protection locked="0"/>
    </xf>
  </cellStyleXfs>
  <cellXfs count="92">
    <xf numFmtId="0" fontId="0" fillId="0" borderId="0" xfId="0">
      <alignment vertical="center"/>
    </xf>
    <xf numFmtId="0" fontId="2" fillId="7"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protection hidden="1"/>
    </xf>
    <xf numFmtId="168" fontId="10" fillId="6" borderId="1" xfId="0" applyNumberFormat="1" applyFont="1" applyFill="1" applyBorder="1" applyAlignment="1" applyProtection="1">
      <alignment horizontal="center" vertical="center"/>
      <protection hidden="1"/>
    </xf>
    <xf numFmtId="0" fontId="11" fillId="3" borderId="1" xfId="0" applyFont="1" applyFill="1" applyBorder="1" applyAlignment="1" applyProtection="1">
      <alignment horizontal="center" vertical="center"/>
      <protection hidden="1"/>
    </xf>
    <xf numFmtId="164" fontId="10" fillId="6" borderId="1" xfId="0" applyNumberFormat="1" applyFont="1" applyFill="1" applyBorder="1" applyAlignment="1" applyProtection="1">
      <alignment horizontal="center" vertical="center"/>
      <protection hidden="1"/>
    </xf>
    <xf numFmtId="0" fontId="0" fillId="0" borderId="1" xfId="0" applyFill="1" applyBorder="1" applyProtection="1">
      <alignment vertical="center"/>
      <protection hidden="1"/>
    </xf>
    <xf numFmtId="0" fontId="0" fillId="0" borderId="1" xfId="0" applyBorder="1" applyProtection="1">
      <alignment vertical="center"/>
      <protection hidden="1"/>
    </xf>
    <xf numFmtId="0" fontId="0" fillId="0" borderId="14" xfId="0" applyBorder="1" applyProtection="1">
      <alignment vertical="center"/>
      <protection hidden="1"/>
    </xf>
    <xf numFmtId="0" fontId="0" fillId="0" borderId="10" xfId="0" applyBorder="1" applyProtection="1">
      <alignment vertical="center"/>
      <protection hidden="1"/>
    </xf>
    <xf numFmtId="0" fontId="0" fillId="0" borderId="12" xfId="0" applyBorder="1" applyProtection="1">
      <alignment vertical="center"/>
      <protection hidden="1"/>
    </xf>
    <xf numFmtId="0" fontId="25" fillId="0" borderId="1" xfId="0" applyFont="1" applyBorder="1" applyProtection="1">
      <alignment vertical="center"/>
      <protection hidden="1"/>
    </xf>
    <xf numFmtId="0" fontId="0" fillId="0" borderId="17" xfId="0" applyBorder="1" applyProtection="1">
      <alignment vertical="center"/>
      <protection hidden="1"/>
    </xf>
    <xf numFmtId="0" fontId="0" fillId="0" borderId="15" xfId="0" applyBorder="1" applyProtection="1">
      <alignment vertical="center"/>
      <protection hidden="1"/>
    </xf>
    <xf numFmtId="0" fontId="0" fillId="0" borderId="1" xfId="0"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2" fillId="5" borderId="1" xfId="0" applyFont="1" applyFill="1" applyBorder="1" applyAlignment="1" applyProtection="1">
      <alignment horizontal="center" vertical="center"/>
      <protection hidden="1"/>
    </xf>
    <xf numFmtId="0" fontId="11" fillId="5" borderId="1" xfId="0" applyFont="1" applyFill="1" applyBorder="1" applyAlignment="1" applyProtection="1">
      <alignment horizontal="center" vertical="center"/>
      <protection hidden="1"/>
    </xf>
    <xf numFmtId="169" fontId="10" fillId="6" borderId="1" xfId="0" applyNumberFormat="1" applyFont="1" applyFill="1" applyBorder="1" applyAlignment="1" applyProtection="1">
      <alignment horizontal="center" vertical="center"/>
      <protection hidden="1"/>
    </xf>
    <xf numFmtId="165" fontId="10" fillId="6" borderId="1" xfId="0" applyNumberFormat="1" applyFont="1" applyFill="1" applyBorder="1" applyAlignment="1" applyProtection="1">
      <alignment horizontal="center" vertical="center"/>
      <protection hidden="1"/>
    </xf>
    <xf numFmtId="170" fontId="10" fillId="6" borderId="1" xfId="0" applyNumberFormat="1" applyFont="1" applyFill="1" applyBorder="1" applyAlignment="1" applyProtection="1">
      <alignment horizontal="center" vertical="center"/>
      <protection hidden="1"/>
    </xf>
    <xf numFmtId="0" fontId="3" fillId="0" borderId="1" xfId="0" applyFont="1" applyBorder="1" applyProtection="1">
      <alignment vertical="center"/>
      <protection hidden="1"/>
    </xf>
    <xf numFmtId="0" fontId="5" fillId="0" borderId="1" xfId="0" applyFont="1" applyBorder="1" applyProtection="1">
      <alignment vertical="center"/>
      <protection hidden="1"/>
    </xf>
    <xf numFmtId="0" fontId="2" fillId="0" borderId="1" xfId="0" applyFont="1" applyBorder="1" applyAlignment="1" applyProtection="1">
      <alignment horizontal="center" vertical="center"/>
      <protection hidden="1"/>
    </xf>
    <xf numFmtId="0" fontId="4" fillId="0" borderId="1" xfId="0" applyFont="1" applyBorder="1" applyProtection="1">
      <alignment vertical="center"/>
      <protection hidden="1"/>
    </xf>
    <xf numFmtId="0" fontId="5"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16" fillId="8" borderId="1" xfId="0" applyFont="1" applyFill="1" applyBorder="1" applyProtection="1">
      <alignment vertical="center"/>
      <protection hidden="1"/>
    </xf>
    <xf numFmtId="0" fontId="19" fillId="8" borderId="1" xfId="0" applyFont="1" applyFill="1" applyBorder="1" applyProtection="1">
      <alignment vertical="center"/>
      <protection hidden="1"/>
    </xf>
    <xf numFmtId="0" fontId="19" fillId="0" borderId="1" xfId="0" applyFont="1" applyBorder="1" applyProtection="1">
      <alignment vertical="center"/>
      <protection hidden="1"/>
    </xf>
    <xf numFmtId="0" fontId="18" fillId="8" borderId="1" xfId="0" applyFont="1" applyFill="1" applyBorder="1" applyProtection="1">
      <alignment vertical="center"/>
      <protection hidden="1"/>
    </xf>
    <xf numFmtId="0" fontId="16" fillId="0" borderId="1" xfId="0" applyFont="1" applyBorder="1" applyProtection="1">
      <alignment vertical="center"/>
      <protection hidden="1"/>
    </xf>
    <xf numFmtId="0" fontId="30" fillId="0" borderId="1" xfId="0" applyFont="1" applyBorder="1" applyAlignment="1" applyProtection="1">
      <alignment horizontal="center" vertical="center"/>
      <protection hidden="1"/>
    </xf>
    <xf numFmtId="0" fontId="18" fillId="0" borderId="1" xfId="0" applyFont="1" applyBorder="1" applyProtection="1">
      <alignment vertical="center"/>
      <protection hidden="1"/>
    </xf>
    <xf numFmtId="0" fontId="32" fillId="8" borderId="1" xfId="0" applyFont="1" applyFill="1" applyBorder="1" applyAlignment="1" applyProtection="1">
      <alignment horizontal="center" vertical="center"/>
      <protection hidden="1"/>
    </xf>
    <xf numFmtId="0" fontId="34" fillId="8" borderId="1" xfId="0" applyFont="1" applyFill="1" applyBorder="1" applyAlignment="1" applyProtection="1">
      <alignment horizontal="center" vertical="center"/>
      <protection hidden="1"/>
    </xf>
    <xf numFmtId="166" fontId="32" fillId="8" borderId="1" xfId="0" applyNumberFormat="1" applyFont="1" applyFill="1" applyBorder="1" applyAlignment="1" applyProtection="1">
      <alignment horizontal="center" vertical="center"/>
      <protection hidden="1"/>
    </xf>
    <xf numFmtId="0" fontId="32" fillId="8" borderId="1" xfId="0" applyFont="1" applyFill="1" applyBorder="1" applyAlignment="1" applyProtection="1">
      <alignment horizontal="center" vertical="center" wrapText="1"/>
      <protection hidden="1"/>
    </xf>
    <xf numFmtId="0" fontId="18" fillId="0" borderId="1" xfId="0" applyNumberFormat="1" applyFont="1" applyBorder="1" applyProtection="1">
      <alignment vertical="center"/>
      <protection hidden="1"/>
    </xf>
    <xf numFmtId="0" fontId="32" fillId="8" borderId="1" xfId="0" applyNumberFormat="1" applyFont="1" applyFill="1" applyBorder="1" applyAlignment="1" applyProtection="1">
      <alignment horizontal="center" vertical="center"/>
      <protection hidden="1"/>
    </xf>
    <xf numFmtId="165" fontId="18" fillId="0" borderId="1" xfId="0" applyNumberFormat="1" applyFont="1" applyBorder="1" applyProtection="1">
      <alignment vertical="center"/>
      <protection hidden="1"/>
    </xf>
    <xf numFmtId="166" fontId="9" fillId="4" borderId="1" xfId="0" applyNumberFormat="1" applyFont="1" applyFill="1" applyBorder="1" applyAlignment="1" applyProtection="1">
      <alignment horizontal="center" vertical="center"/>
      <protection locked="0" hidden="1"/>
    </xf>
    <xf numFmtId="168" fontId="9" fillId="4" borderId="1" xfId="0" applyNumberFormat="1" applyFont="1" applyFill="1" applyBorder="1" applyAlignment="1" applyProtection="1">
      <alignment horizontal="center" vertical="center"/>
      <protection locked="0" hidden="1"/>
    </xf>
    <xf numFmtId="167" fontId="9" fillId="4" borderId="1" xfId="0" applyNumberFormat="1" applyFont="1" applyFill="1" applyBorder="1" applyAlignment="1" applyProtection="1">
      <alignment horizontal="center" vertical="center"/>
      <protection locked="0" hidden="1"/>
    </xf>
    <xf numFmtId="169" fontId="9" fillId="4" borderId="1" xfId="0" applyNumberFormat="1" applyFont="1" applyFill="1" applyBorder="1" applyAlignment="1" applyProtection="1">
      <alignment horizontal="center" vertical="center"/>
      <protection locked="0" hidden="1"/>
    </xf>
    <xf numFmtId="0" fontId="9" fillId="4" borderId="1" xfId="0" applyFont="1" applyFill="1" applyBorder="1" applyAlignment="1" applyProtection="1">
      <alignment horizontal="center" vertical="center"/>
      <protection locked="0" hidden="1"/>
    </xf>
    <xf numFmtId="0" fontId="31" fillId="0" borderId="1" xfId="0" applyFont="1" applyBorder="1" applyAlignment="1" applyProtection="1">
      <alignment horizontal="center" vertical="center"/>
      <protection hidden="1"/>
    </xf>
    <xf numFmtId="0" fontId="32" fillId="0" borderId="1" xfId="0" applyFont="1" applyBorder="1" applyProtection="1">
      <alignment vertical="center"/>
      <protection hidden="1"/>
    </xf>
    <xf numFmtId="0" fontId="32" fillId="0" borderId="1" xfId="0" applyFont="1" applyBorder="1" applyAlignment="1" applyProtection="1">
      <alignment horizontal="center" vertical="center"/>
      <protection hidden="1"/>
    </xf>
    <xf numFmtId="0" fontId="2" fillId="3" borderId="1" xfId="0" applyFont="1" applyFill="1" applyBorder="1" applyAlignment="1" applyProtection="1">
      <alignment horizontal="center" vertical="center"/>
      <protection hidden="1"/>
    </xf>
    <xf numFmtId="0" fontId="2" fillId="5" borderId="1" xfId="0" applyFont="1" applyFill="1" applyBorder="1" applyAlignment="1" applyProtection="1">
      <alignment horizontal="center" vertical="center"/>
      <protection hidden="1"/>
    </xf>
    <xf numFmtId="0" fontId="38" fillId="0" borderId="1" xfId="0" applyFont="1" applyBorder="1" applyProtection="1">
      <alignment vertical="center"/>
      <protection hidden="1"/>
    </xf>
    <xf numFmtId="0" fontId="38" fillId="0" borderId="14" xfId="0" applyFont="1" applyBorder="1" applyProtection="1">
      <alignment vertical="center"/>
      <protection hidden="1"/>
    </xf>
    <xf numFmtId="0" fontId="38" fillId="0" borderId="17" xfId="0" applyFont="1" applyBorder="1" applyProtection="1">
      <alignment vertical="center"/>
      <protection hidden="1"/>
    </xf>
    <xf numFmtId="0" fontId="38" fillId="0" borderId="15" xfId="0" applyFont="1" applyBorder="1" applyProtection="1">
      <alignment vertical="center"/>
      <protection hidden="1"/>
    </xf>
    <xf numFmtId="0" fontId="22" fillId="6" borderId="16" xfId="0" applyFont="1" applyFill="1" applyBorder="1" applyAlignment="1" applyProtection="1">
      <alignment horizontal="center" vertical="center"/>
      <protection hidden="1"/>
    </xf>
    <xf numFmtId="0" fontId="22" fillId="6" borderId="16" xfId="0" applyFont="1" applyFill="1" applyBorder="1" applyAlignment="1" applyProtection="1">
      <alignment horizontal="center" vertical="center" wrapText="1"/>
      <protection hidden="1"/>
    </xf>
    <xf numFmtId="0" fontId="37" fillId="2" borderId="1" xfId="1" applyFont="1" applyFill="1" applyBorder="1" applyAlignment="1" applyProtection="1">
      <alignment horizontal="center" vertical="center"/>
      <protection hidden="1"/>
    </xf>
    <xf numFmtId="0" fontId="39" fillId="9" borderId="1" xfId="1" applyFont="1" applyFill="1" applyBorder="1" applyAlignment="1" applyProtection="1">
      <alignment horizontal="center" vertical="center"/>
      <protection hidden="1"/>
    </xf>
    <xf numFmtId="0" fontId="20" fillId="4" borderId="13" xfId="0" applyFont="1" applyFill="1" applyBorder="1" applyAlignment="1" applyProtection="1">
      <alignment horizontal="center" vertical="center"/>
      <protection hidden="1"/>
    </xf>
    <xf numFmtId="0" fontId="20" fillId="4" borderId="13" xfId="0" applyFont="1" applyFill="1" applyBorder="1" applyAlignment="1" applyProtection="1">
      <alignment horizontal="center" vertical="center" wrapText="1"/>
      <protection hidden="1"/>
    </xf>
    <xf numFmtId="0" fontId="28" fillId="10" borderId="1" xfId="0" applyFont="1" applyFill="1" applyBorder="1" applyAlignment="1" applyProtection="1">
      <alignment horizontal="center" vertical="center" wrapText="1"/>
      <protection hidden="1"/>
    </xf>
    <xf numFmtId="0" fontId="28" fillId="10" borderId="1" xfId="0" applyFont="1" applyFill="1" applyBorder="1" applyAlignment="1" applyProtection="1">
      <alignment horizontal="center" vertical="center"/>
      <protection hidden="1"/>
    </xf>
    <xf numFmtId="0" fontId="23" fillId="2" borderId="13" xfId="0" applyFont="1" applyFill="1" applyBorder="1" applyAlignment="1" applyProtection="1">
      <alignment horizontal="center" vertical="center"/>
      <protection hidden="1"/>
    </xf>
    <xf numFmtId="0" fontId="24" fillId="9" borderId="16" xfId="0" applyFont="1" applyFill="1" applyBorder="1" applyAlignment="1" applyProtection="1">
      <alignment horizontal="center" vertical="center"/>
      <protection hidden="1"/>
    </xf>
    <xf numFmtId="0" fontId="31" fillId="8" borderId="1" xfId="0" applyFont="1" applyFill="1" applyBorder="1" applyAlignment="1" applyProtection="1">
      <alignment horizontal="center" vertical="center"/>
      <protection hidden="1"/>
    </xf>
    <xf numFmtId="0" fontId="25" fillId="8" borderId="1" xfId="0" applyFont="1" applyFill="1" applyBorder="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6" fillId="2" borderId="5"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wrapText="1"/>
      <protection hidden="1"/>
    </xf>
    <xf numFmtId="0" fontId="26" fillId="2" borderId="6" xfId="0" applyFont="1" applyFill="1" applyBorder="1" applyAlignment="1" applyProtection="1">
      <alignment horizontal="center" vertical="center" wrapText="1"/>
      <protection hidden="1"/>
    </xf>
    <xf numFmtId="0" fontId="26" fillId="2" borderId="7" xfId="0" applyFont="1" applyFill="1" applyBorder="1" applyAlignment="1" applyProtection="1">
      <alignment horizontal="center" vertical="center" wrapText="1"/>
      <protection hidden="1"/>
    </xf>
    <xf numFmtId="0" fontId="26" fillId="2" borderId="8" xfId="0" applyFont="1" applyFill="1" applyBorder="1" applyAlignment="1" applyProtection="1">
      <alignment horizontal="center" vertical="center" wrapText="1"/>
      <protection hidden="1"/>
    </xf>
    <xf numFmtId="0" fontId="26" fillId="2" borderId="9" xfId="0" applyFont="1" applyFill="1" applyBorder="1" applyAlignment="1" applyProtection="1">
      <alignment horizontal="center" vertical="center" wrapText="1"/>
      <protection hidden="1"/>
    </xf>
    <xf numFmtId="0" fontId="30" fillId="8"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protection hidden="1"/>
    </xf>
    <xf numFmtId="0" fontId="2" fillId="5" borderId="1" xfId="0" applyFont="1" applyFill="1" applyBorder="1" applyAlignment="1" applyProtection="1">
      <alignment horizontal="center" vertical="center"/>
      <protection hidden="1"/>
    </xf>
    <xf numFmtId="0" fontId="27" fillId="9" borderId="3" xfId="0" applyFont="1" applyFill="1" applyBorder="1" applyAlignment="1" applyProtection="1">
      <alignment horizontal="center" vertical="center" wrapText="1"/>
      <protection hidden="1"/>
    </xf>
    <xf numFmtId="0" fontId="27" fillId="9" borderId="4" xfId="0" applyFont="1" applyFill="1" applyBorder="1" applyAlignment="1" applyProtection="1">
      <alignment horizontal="center" vertical="center" wrapText="1"/>
      <protection hidden="1"/>
    </xf>
    <xf numFmtId="0" fontId="27" fillId="9" borderId="5" xfId="0" applyFont="1" applyFill="1" applyBorder="1" applyAlignment="1" applyProtection="1">
      <alignment horizontal="center" vertical="center" wrapText="1"/>
      <protection hidden="1"/>
    </xf>
    <xf numFmtId="0" fontId="27" fillId="9" borderId="2" xfId="0" applyFont="1" applyFill="1" applyBorder="1" applyAlignment="1" applyProtection="1">
      <alignment horizontal="center" vertical="center" wrapText="1"/>
      <protection hidden="1"/>
    </xf>
    <xf numFmtId="0" fontId="27" fillId="9" borderId="0" xfId="0" applyFont="1" applyFill="1" applyBorder="1" applyAlignment="1" applyProtection="1">
      <alignment horizontal="center" vertical="center" wrapText="1"/>
      <protection hidden="1"/>
    </xf>
    <xf numFmtId="0" fontId="27" fillId="9" borderId="6" xfId="0" applyFont="1" applyFill="1" applyBorder="1" applyAlignment="1" applyProtection="1">
      <alignment horizontal="center" vertical="center" wrapText="1"/>
      <protection hidden="1"/>
    </xf>
    <xf numFmtId="0" fontId="27" fillId="9" borderId="7" xfId="0" applyFont="1" applyFill="1" applyBorder="1" applyAlignment="1" applyProtection="1">
      <alignment horizontal="center" vertical="center" wrapText="1"/>
      <protection hidden="1"/>
    </xf>
    <xf numFmtId="0" fontId="27" fillId="9" borderId="8" xfId="0" applyFont="1" applyFill="1" applyBorder="1" applyAlignment="1" applyProtection="1">
      <alignment horizontal="center" vertical="center" wrapText="1"/>
      <protection hidden="1"/>
    </xf>
    <xf numFmtId="0" fontId="27" fillId="9" borderId="9" xfId="0" applyFont="1" applyFill="1" applyBorder="1" applyAlignment="1" applyProtection="1">
      <alignment horizontal="center" vertical="center" wrapText="1"/>
      <protection hidden="1"/>
    </xf>
    <xf numFmtId="0" fontId="31" fillId="8" borderId="10" xfId="0" applyFont="1" applyFill="1" applyBorder="1" applyAlignment="1" applyProtection="1">
      <alignment horizontal="center" vertical="center"/>
      <protection hidden="1"/>
    </xf>
    <xf numFmtId="0" fontId="31" fillId="8" borderId="11" xfId="0" applyFont="1" applyFill="1" applyBorder="1" applyAlignment="1" applyProtection="1">
      <alignment horizontal="center" vertical="center"/>
      <protection hidden="1"/>
    </xf>
    <xf numFmtId="0" fontId="31" fillId="8" borderId="12" xfId="0" applyFont="1" applyFill="1" applyBorder="1" applyAlignment="1" applyProtection="1">
      <alignment horizontal="center" vertical="center"/>
      <protection hidden="1"/>
    </xf>
  </cellXfs>
  <cellStyles count="2">
    <cellStyle name="표준" xfId="0" builtinId="0"/>
    <cellStyle name="하이퍼링크" xfId="1" builtinId="8"/>
  </cellStyles>
  <dxfs count="0"/>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7.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10</xdr:col>
      <xdr:colOff>409575</xdr:colOff>
      <xdr:row>13</xdr:row>
      <xdr:rowOff>180975</xdr:rowOff>
    </xdr:from>
    <xdr:to>
      <xdr:col>11</xdr:col>
      <xdr:colOff>257175</xdr:colOff>
      <xdr:row>15</xdr:row>
      <xdr:rowOff>76200</xdr:rowOff>
    </xdr:to>
    <xdr:sp macro="" textlink="">
      <xdr:nvSpPr>
        <xdr:cNvPr id="2" name="오른쪽 화살표 1"/>
        <xdr:cNvSpPr/>
      </xdr:nvSpPr>
      <xdr:spPr>
        <a:xfrm>
          <a:off x="7953375" y="2486025"/>
          <a:ext cx="533400" cy="314325"/>
        </a:xfrm>
        <a:prstGeom prst="rightArrow">
          <a:avLst/>
        </a:prstGeom>
        <a:solidFill>
          <a:schemeClr val="accent1">
            <a:lumMod val="20000"/>
            <a:lumOff val="80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ko-KR" altLang="en-US" sz="1100"/>
        </a:p>
      </xdr:txBody>
    </xdr:sp>
    <xdr:clientData/>
  </xdr:twoCellAnchor>
  <xdr:twoCellAnchor>
    <xdr:from>
      <xdr:col>10</xdr:col>
      <xdr:colOff>400050</xdr:colOff>
      <xdr:row>20</xdr:row>
      <xdr:rowOff>180975</xdr:rowOff>
    </xdr:from>
    <xdr:to>
      <xdr:col>11</xdr:col>
      <xdr:colOff>247650</xdr:colOff>
      <xdr:row>22</xdr:row>
      <xdr:rowOff>76200</xdr:rowOff>
    </xdr:to>
    <xdr:sp macro="" textlink="">
      <xdr:nvSpPr>
        <xdr:cNvPr id="3" name="오른쪽 화살표 2"/>
        <xdr:cNvSpPr/>
      </xdr:nvSpPr>
      <xdr:spPr>
        <a:xfrm>
          <a:off x="7943850" y="3743325"/>
          <a:ext cx="533400" cy="314325"/>
        </a:xfrm>
        <a:prstGeom prst="rightArrow">
          <a:avLst/>
        </a:prstGeom>
        <a:solidFill>
          <a:schemeClr val="accent6">
            <a:lumMod val="20000"/>
            <a:lumOff val="8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ko-KR" altLang="en-US" sz="1100"/>
        </a:p>
      </xdr:txBody>
    </xdr:sp>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oleObject" Target="../embeddings/oleObject4.bin"/><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oleObject" Target="../embeddings/oleObject6.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4.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oleObject" Target="../embeddings/oleObject9.bin"/><Relationship Id="rId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oleObject" Target="../embeddings/oleObject11.bin"/></Relationships>
</file>

<file path=xl/worksheets/sheet1.xml><?xml version="1.0" encoding="utf-8"?>
<worksheet xmlns="http://schemas.openxmlformats.org/spreadsheetml/2006/main" xmlns:r="http://schemas.openxmlformats.org/officeDocument/2006/relationships">
  <dimension ref="A1:Q26"/>
  <sheetViews>
    <sheetView zoomScale="85" zoomScaleNormal="85" workbookViewId="0">
      <selection activeCell="X85" sqref="X85"/>
    </sheetView>
  </sheetViews>
  <sheetFormatPr defaultColWidth="9" defaultRowHeight="14.4"/>
  <cols>
    <col min="1" max="6" width="9" style="7"/>
    <col min="7" max="7" width="9" style="51"/>
    <col min="8" max="12" width="9" style="7"/>
    <col min="13" max="17" width="9" style="11"/>
    <col min="18" max="16384" width="9" style="7"/>
  </cols>
  <sheetData>
    <row r="1" spans="1:17">
      <c r="A1" s="6"/>
      <c r="B1" s="6"/>
      <c r="C1" s="6"/>
      <c r="D1" s="6"/>
      <c r="E1" s="6"/>
    </row>
    <row r="2" spans="1:17">
      <c r="A2" s="6"/>
      <c r="B2" s="6"/>
      <c r="C2" s="6"/>
      <c r="D2" s="6"/>
      <c r="E2" s="6"/>
    </row>
    <row r="3" spans="1:17" ht="16.5" customHeight="1">
      <c r="A3" s="6"/>
      <c r="B3" s="6"/>
      <c r="C3" s="6"/>
      <c r="D3" s="6"/>
      <c r="E3" s="6"/>
      <c r="F3" s="61" t="s">
        <v>449</v>
      </c>
      <c r="G3" s="61"/>
      <c r="H3" s="61"/>
      <c r="I3" s="61"/>
      <c r="J3" s="61"/>
    </row>
    <row r="4" spans="1:17" ht="16.5" customHeight="1">
      <c r="A4" s="6"/>
      <c r="B4" s="6"/>
      <c r="C4" s="6"/>
      <c r="D4" s="6"/>
      <c r="E4" s="6"/>
      <c r="F4" s="61"/>
      <c r="G4" s="61"/>
      <c r="H4" s="61"/>
      <c r="I4" s="61"/>
      <c r="J4" s="61"/>
    </row>
    <row r="5" spans="1:17" ht="16.5" customHeight="1">
      <c r="A5" s="6"/>
      <c r="B5" s="6"/>
      <c r="C5" s="6"/>
      <c r="D5" s="6"/>
      <c r="E5" s="6"/>
      <c r="F5" s="61"/>
      <c r="G5" s="61"/>
      <c r="H5" s="61"/>
      <c r="I5" s="61"/>
      <c r="J5" s="61"/>
    </row>
    <row r="6" spans="1:17" ht="16.5" customHeight="1">
      <c r="A6" s="6"/>
      <c r="B6" s="6"/>
      <c r="C6" s="6"/>
      <c r="D6" s="6"/>
      <c r="E6" s="6"/>
      <c r="F6" s="61"/>
      <c r="G6" s="61"/>
      <c r="H6" s="61"/>
      <c r="I6" s="61"/>
      <c r="J6" s="61"/>
    </row>
    <row r="7" spans="1:17" ht="16.5" customHeight="1">
      <c r="A7" s="6"/>
      <c r="B7" s="6"/>
      <c r="C7" s="6"/>
      <c r="D7" s="6"/>
      <c r="E7" s="6"/>
      <c r="F7" s="61"/>
      <c r="G7" s="61"/>
      <c r="H7" s="61"/>
      <c r="I7" s="61"/>
      <c r="J7" s="61"/>
    </row>
    <row r="8" spans="1:17">
      <c r="A8" s="6"/>
      <c r="B8" s="6"/>
      <c r="C8" s="6"/>
      <c r="D8" s="6"/>
      <c r="E8" s="6"/>
    </row>
    <row r="9" spans="1:17">
      <c r="A9" s="6"/>
      <c r="B9" s="6"/>
      <c r="C9" s="6"/>
      <c r="D9" s="6"/>
      <c r="E9" s="6"/>
    </row>
    <row r="10" spans="1:17" ht="16.5" customHeight="1">
      <c r="A10" s="6"/>
      <c r="B10" s="62" t="s">
        <v>296</v>
      </c>
      <c r="C10" s="62"/>
      <c r="D10" s="62"/>
      <c r="E10" s="62"/>
      <c r="F10" s="62"/>
      <c r="G10" s="62"/>
      <c r="H10" s="62"/>
      <c r="I10" s="62"/>
      <c r="J10" s="62"/>
    </row>
    <row r="11" spans="1:17" ht="16.5" customHeight="1">
      <c r="A11" s="6"/>
      <c r="B11" s="62"/>
      <c r="C11" s="62"/>
      <c r="D11" s="62"/>
      <c r="E11" s="62"/>
      <c r="F11" s="62"/>
      <c r="G11" s="62"/>
      <c r="H11" s="62"/>
      <c r="I11" s="62"/>
      <c r="J11" s="62"/>
    </row>
    <row r="12" spans="1:17">
      <c r="B12" s="8"/>
      <c r="C12" s="8"/>
      <c r="D12" s="8"/>
      <c r="E12" s="8"/>
      <c r="F12" s="8"/>
      <c r="G12" s="52"/>
      <c r="H12" s="8"/>
      <c r="I12" s="8"/>
      <c r="J12" s="8"/>
    </row>
    <row r="13" spans="1:17">
      <c r="A13" s="9"/>
      <c r="B13" s="63" t="s">
        <v>272</v>
      </c>
      <c r="C13" s="63"/>
      <c r="D13" s="63"/>
      <c r="E13" s="63"/>
      <c r="F13" s="63"/>
      <c r="G13" s="63"/>
      <c r="H13" s="63"/>
      <c r="I13" s="63"/>
      <c r="J13" s="63"/>
      <c r="K13" s="10"/>
    </row>
    <row r="14" spans="1:17" ht="17.399999999999999">
      <c r="A14" s="9"/>
      <c r="B14" s="59" t="s">
        <v>282</v>
      </c>
      <c r="C14" s="59"/>
      <c r="D14" s="59"/>
      <c r="E14" s="59" t="s">
        <v>275</v>
      </c>
      <c r="F14" s="59"/>
      <c r="G14" s="59"/>
      <c r="H14" s="59" t="s">
        <v>276</v>
      </c>
      <c r="I14" s="59"/>
      <c r="J14" s="59"/>
      <c r="K14" s="10"/>
      <c r="M14" s="57" t="s">
        <v>452</v>
      </c>
      <c r="N14" s="57"/>
      <c r="O14" s="57"/>
      <c r="P14" s="57"/>
      <c r="Q14" s="57"/>
    </row>
    <row r="15" spans="1:17">
      <c r="A15" s="9"/>
      <c r="B15" s="59" t="s">
        <v>277</v>
      </c>
      <c r="C15" s="59"/>
      <c r="D15" s="59"/>
      <c r="E15" s="59" t="s">
        <v>279</v>
      </c>
      <c r="F15" s="59"/>
      <c r="G15" s="59"/>
      <c r="H15" s="59" t="s">
        <v>280</v>
      </c>
      <c r="I15" s="59"/>
      <c r="J15" s="59"/>
      <c r="K15" s="10"/>
    </row>
    <row r="16" spans="1:17" ht="17.399999999999999">
      <c r="A16" s="9"/>
      <c r="B16" s="59" t="s">
        <v>278</v>
      </c>
      <c r="C16" s="59"/>
      <c r="D16" s="59"/>
      <c r="E16" s="59" t="s">
        <v>290</v>
      </c>
      <c r="F16" s="59"/>
      <c r="G16" s="59"/>
      <c r="H16" s="59" t="s">
        <v>291</v>
      </c>
      <c r="I16" s="59"/>
      <c r="J16" s="59"/>
      <c r="K16" s="10"/>
      <c r="M16" s="57" t="s">
        <v>453</v>
      </c>
      <c r="N16" s="57"/>
      <c r="O16" s="57"/>
      <c r="P16" s="57"/>
      <c r="Q16" s="57"/>
    </row>
    <row r="17" spans="1:17" ht="16.5" customHeight="1">
      <c r="A17" s="9"/>
      <c r="B17" s="59" t="s">
        <v>270</v>
      </c>
      <c r="C17" s="59"/>
      <c r="D17" s="59"/>
      <c r="E17" s="60" t="s">
        <v>289</v>
      </c>
      <c r="F17" s="60"/>
      <c r="G17" s="60"/>
      <c r="H17" s="60"/>
      <c r="I17" s="60"/>
      <c r="J17" s="60"/>
      <c r="K17" s="10"/>
    </row>
    <row r="18" spans="1:17">
      <c r="A18" s="9"/>
      <c r="B18" s="59"/>
      <c r="C18" s="59"/>
      <c r="D18" s="59"/>
      <c r="E18" s="60"/>
      <c r="F18" s="60"/>
      <c r="G18" s="60"/>
      <c r="H18" s="60"/>
      <c r="I18" s="60"/>
      <c r="J18" s="60"/>
      <c r="K18" s="10"/>
    </row>
    <row r="19" spans="1:17">
      <c r="B19" s="12"/>
      <c r="C19" s="12"/>
      <c r="D19" s="12"/>
      <c r="E19" s="12"/>
      <c r="F19" s="12"/>
      <c r="G19" s="53"/>
      <c r="H19" s="12"/>
      <c r="I19" s="12"/>
      <c r="J19" s="12"/>
    </row>
    <row r="20" spans="1:17">
      <c r="A20" s="9"/>
      <c r="B20" s="64" t="s">
        <v>295</v>
      </c>
      <c r="C20" s="64"/>
      <c r="D20" s="64"/>
      <c r="E20" s="64"/>
      <c r="F20" s="64"/>
      <c r="G20" s="64"/>
      <c r="H20" s="64"/>
      <c r="I20" s="64"/>
      <c r="J20" s="64"/>
      <c r="K20" s="10"/>
    </row>
    <row r="21" spans="1:17" ht="17.399999999999999">
      <c r="A21" s="9"/>
      <c r="B21" s="55" t="s">
        <v>281</v>
      </c>
      <c r="C21" s="55"/>
      <c r="D21" s="55"/>
      <c r="E21" s="55" t="s">
        <v>283</v>
      </c>
      <c r="F21" s="55"/>
      <c r="G21" s="55"/>
      <c r="H21" s="55" t="s">
        <v>276</v>
      </c>
      <c r="I21" s="55"/>
      <c r="J21" s="55"/>
      <c r="K21" s="10"/>
      <c r="M21" s="58" t="s">
        <v>454</v>
      </c>
      <c r="N21" s="58"/>
      <c r="O21" s="58"/>
      <c r="P21" s="58"/>
      <c r="Q21" s="58"/>
    </row>
    <row r="22" spans="1:17">
      <c r="A22" s="9"/>
      <c r="B22" s="55" t="s">
        <v>277</v>
      </c>
      <c r="C22" s="55"/>
      <c r="D22" s="55"/>
      <c r="E22" s="55" t="s">
        <v>284</v>
      </c>
      <c r="F22" s="55"/>
      <c r="G22" s="55"/>
      <c r="H22" s="55" t="s">
        <v>285</v>
      </c>
      <c r="I22" s="55"/>
      <c r="J22" s="55"/>
      <c r="K22" s="10"/>
    </row>
    <row r="23" spans="1:17" ht="17.399999999999999">
      <c r="A23" s="9"/>
      <c r="B23" s="55" t="s">
        <v>286</v>
      </c>
      <c r="C23" s="55"/>
      <c r="D23" s="55"/>
      <c r="E23" s="55" t="s">
        <v>287</v>
      </c>
      <c r="F23" s="55"/>
      <c r="G23" s="55"/>
      <c r="H23" s="55" t="s">
        <v>288</v>
      </c>
      <c r="I23" s="55"/>
      <c r="J23" s="55"/>
      <c r="K23" s="10"/>
      <c r="M23" s="58" t="s">
        <v>455</v>
      </c>
      <c r="N23" s="58"/>
      <c r="O23" s="58"/>
      <c r="P23" s="58"/>
      <c r="Q23" s="58"/>
    </row>
    <row r="24" spans="1:17" ht="16.5" customHeight="1">
      <c r="A24" s="9"/>
      <c r="B24" s="55" t="s">
        <v>270</v>
      </c>
      <c r="C24" s="55"/>
      <c r="D24" s="55"/>
      <c r="E24" s="56" t="s">
        <v>292</v>
      </c>
      <c r="F24" s="56"/>
      <c r="G24" s="56"/>
      <c r="H24" s="56"/>
      <c r="I24" s="56"/>
      <c r="J24" s="56"/>
      <c r="K24" s="10"/>
    </row>
    <row r="25" spans="1:17">
      <c r="A25" s="9"/>
      <c r="B25" s="55"/>
      <c r="C25" s="55"/>
      <c r="D25" s="55"/>
      <c r="E25" s="56"/>
      <c r="F25" s="56"/>
      <c r="G25" s="56"/>
      <c r="H25" s="56"/>
      <c r="I25" s="56"/>
      <c r="J25" s="56"/>
      <c r="K25" s="10"/>
    </row>
    <row r="26" spans="1:17">
      <c r="B26" s="13"/>
      <c r="C26" s="13"/>
      <c r="D26" s="13"/>
      <c r="E26" s="13"/>
      <c r="F26" s="13"/>
      <c r="G26" s="54"/>
      <c r="H26" s="13"/>
      <c r="I26" s="13"/>
      <c r="J26" s="13"/>
    </row>
  </sheetData>
  <sheetProtection password="E642" sheet="1" objects="1" scenarios="1" selectLockedCells="1"/>
  <mergeCells count="30">
    <mergeCell ref="H15:J15"/>
    <mergeCell ref="E16:G16"/>
    <mergeCell ref="E22:G22"/>
    <mergeCell ref="H22:J22"/>
    <mergeCell ref="F3:J7"/>
    <mergeCell ref="B10:J11"/>
    <mergeCell ref="B14:D14"/>
    <mergeCell ref="B13:J13"/>
    <mergeCell ref="B21:D21"/>
    <mergeCell ref="B20:J20"/>
    <mergeCell ref="B15:D15"/>
    <mergeCell ref="H16:J16"/>
    <mergeCell ref="E21:G21"/>
    <mergeCell ref="H21:J21"/>
    <mergeCell ref="E23:G23"/>
    <mergeCell ref="H23:J23"/>
    <mergeCell ref="B24:D25"/>
    <mergeCell ref="E24:J25"/>
    <mergeCell ref="M14:Q14"/>
    <mergeCell ref="M16:Q16"/>
    <mergeCell ref="M21:Q21"/>
    <mergeCell ref="M23:Q23"/>
    <mergeCell ref="B16:D16"/>
    <mergeCell ref="B17:D18"/>
    <mergeCell ref="E17:J18"/>
    <mergeCell ref="B23:D23"/>
    <mergeCell ref="B22:D22"/>
    <mergeCell ref="E14:G14"/>
    <mergeCell ref="H14:J14"/>
    <mergeCell ref="E15:G15"/>
  </mergeCells>
  <phoneticPr fontId="1" type="noConversion"/>
  <pageMargins left="0.7" right="0.7" top="0.75" bottom="0.75" header="0.3" footer="0.3"/>
  <pageSetup paperSize="9" orientation="portrait" r:id="rId1"/>
  <drawing r:id="rId2"/>
  <legacyDrawing r:id="rId3"/>
  <oleObjects>
    <oleObject progId="Visio.Drawing.11" shapeId="3073" r:id="rId4"/>
  </oleObjects>
</worksheet>
</file>

<file path=xl/worksheets/sheet2.xml><?xml version="1.0" encoding="utf-8"?>
<worksheet xmlns="http://schemas.openxmlformats.org/spreadsheetml/2006/main" xmlns:r="http://schemas.openxmlformats.org/officeDocument/2006/relationships">
  <dimension ref="A15:V224"/>
  <sheetViews>
    <sheetView zoomScale="70" zoomScaleNormal="70" workbookViewId="0">
      <selection activeCell="C28" sqref="C28"/>
    </sheetView>
  </sheetViews>
  <sheetFormatPr defaultColWidth="9" defaultRowHeight="14.4"/>
  <cols>
    <col min="1" max="1" width="9" style="7"/>
    <col min="2" max="2" width="20.33203125" style="7" customWidth="1"/>
    <col min="3" max="3" width="11.44140625" style="7" bestFit="1" customWidth="1"/>
    <col min="4" max="4" width="9" style="7"/>
    <col min="5" max="5" width="8.33203125" style="7" customWidth="1"/>
    <col min="6" max="6" width="20.6640625" style="7" customWidth="1"/>
    <col min="7" max="7" width="11.21875" style="7" customWidth="1"/>
    <col min="8" max="8" width="9" style="7"/>
    <col min="9" max="9" width="9.44140625" style="7" customWidth="1"/>
    <col min="10" max="10" width="20.21875" style="7" bestFit="1" customWidth="1"/>
    <col min="11" max="11" width="12.33203125" style="7" customWidth="1"/>
    <col min="12" max="13" width="9" style="7"/>
    <col min="14" max="14" width="20.77734375" style="7" customWidth="1"/>
    <col min="15" max="15" width="11.33203125" style="7" customWidth="1"/>
    <col min="16" max="17" width="9" style="7"/>
    <col min="18" max="18" width="23.33203125" style="7" bestFit="1" customWidth="1"/>
    <col min="19" max="19" width="11.88671875" style="7" bestFit="1" customWidth="1"/>
    <col min="20" max="21" width="9.21875" style="7" customWidth="1"/>
    <col min="22" max="22" width="9.88671875" style="7" customWidth="1"/>
    <col min="23" max="23" width="9.77734375" style="7" customWidth="1"/>
    <col min="24" max="25" width="9.109375" style="7" customWidth="1"/>
    <col min="26" max="26" width="9" style="7" customWidth="1"/>
    <col min="27" max="28" width="9.21875" style="7" customWidth="1"/>
    <col min="29" max="16384" width="9" style="7"/>
  </cols>
  <sheetData>
    <row r="15" ht="17.25" customHeight="1"/>
    <row r="16" ht="17.25" customHeight="1"/>
    <row r="17" spans="2:20" ht="17.25" customHeight="1"/>
    <row r="18" spans="2:20" ht="16.5" customHeight="1"/>
    <row r="19" spans="2:20" ht="16.5" customHeight="1"/>
    <row r="20" spans="2:20" ht="16.5" customHeight="1"/>
    <row r="21" spans="2:20">
      <c r="B21" s="68" t="s">
        <v>273</v>
      </c>
      <c r="C21" s="69"/>
      <c r="D21" s="70"/>
    </row>
    <row r="22" spans="2:20" ht="16.5" customHeight="1">
      <c r="B22" s="71"/>
      <c r="C22" s="72"/>
      <c r="D22" s="73"/>
    </row>
    <row r="23" spans="2:20" ht="16.5" customHeight="1">
      <c r="B23" s="71"/>
      <c r="C23" s="72"/>
      <c r="D23" s="73"/>
    </row>
    <row r="24" spans="2:20" ht="16.5" customHeight="1">
      <c r="B24" s="74"/>
      <c r="C24" s="75"/>
      <c r="D24" s="76"/>
    </row>
    <row r="26" spans="2:20" ht="15.6">
      <c r="B26" s="67" t="s">
        <v>254</v>
      </c>
      <c r="C26" s="67"/>
      <c r="D26" s="67"/>
      <c r="E26" s="14"/>
      <c r="F26" s="67" t="s">
        <v>43</v>
      </c>
      <c r="G26" s="67"/>
      <c r="H26" s="67"/>
      <c r="J26" s="67" t="s">
        <v>299</v>
      </c>
      <c r="K26" s="67"/>
      <c r="L26" s="67"/>
      <c r="N26" s="67" t="s">
        <v>44</v>
      </c>
      <c r="O26" s="67"/>
      <c r="P26" s="67"/>
      <c r="R26" s="67" t="s">
        <v>154</v>
      </c>
      <c r="S26" s="67"/>
      <c r="T26" s="67"/>
    </row>
    <row r="27" spans="2:20" ht="15.6">
      <c r="B27" s="2" t="s">
        <v>45</v>
      </c>
      <c r="C27" s="41">
        <v>198</v>
      </c>
      <c r="D27" s="2" t="s">
        <v>4</v>
      </c>
      <c r="E27" s="15"/>
      <c r="F27" s="2" t="s">
        <v>46</v>
      </c>
      <c r="G27" s="43">
        <v>20.6</v>
      </c>
      <c r="H27" s="2" t="s">
        <v>47</v>
      </c>
      <c r="J27" s="2" t="s">
        <v>179</v>
      </c>
      <c r="K27" s="44">
        <v>0.56999999999999995</v>
      </c>
      <c r="L27" s="2" t="s">
        <v>4</v>
      </c>
      <c r="N27" s="16" t="s">
        <v>304</v>
      </c>
      <c r="O27" s="5">
        <f>Rvin1*10^-6</f>
        <v>2</v>
      </c>
      <c r="P27" s="17" t="s">
        <v>48</v>
      </c>
      <c r="R27" s="2" t="s">
        <v>234</v>
      </c>
      <c r="S27" s="41">
        <v>500</v>
      </c>
      <c r="T27" s="4" t="s">
        <v>6</v>
      </c>
    </row>
    <row r="28" spans="2:20" ht="15.6">
      <c r="B28" s="2" t="s">
        <v>49</v>
      </c>
      <c r="C28" s="41">
        <v>230</v>
      </c>
      <c r="D28" s="2" t="s">
        <v>4</v>
      </c>
      <c r="F28" s="2" t="s">
        <v>50</v>
      </c>
      <c r="G28" s="41">
        <v>60</v>
      </c>
      <c r="H28" s="2" t="s">
        <v>51</v>
      </c>
      <c r="J28" s="16" t="s">
        <v>153</v>
      </c>
      <c r="K28" s="18">
        <f>Ipk_max_final*RCS</f>
        <v>0.60723186439838817</v>
      </c>
      <c r="L28" s="17" t="s">
        <v>4</v>
      </c>
      <c r="N28" s="16" t="s">
        <v>52</v>
      </c>
      <c r="O28" s="3">
        <f>Rvin2*10^-3</f>
        <v>108.42790312299665</v>
      </c>
      <c r="P28" s="17" t="s">
        <v>53</v>
      </c>
      <c r="R28" s="16" t="s">
        <v>241</v>
      </c>
      <c r="S28" s="19">
        <f>Vsn/Rsn*1000</f>
        <v>1.2984807845085182</v>
      </c>
      <c r="T28" s="17" t="s">
        <v>69</v>
      </c>
    </row>
    <row r="29" spans="2:20" ht="15.6">
      <c r="B29" s="2" t="s">
        <v>54</v>
      </c>
      <c r="C29" s="41">
        <v>264</v>
      </c>
      <c r="D29" s="2" t="s">
        <v>4</v>
      </c>
      <c r="E29" s="15"/>
      <c r="F29" s="16" t="s">
        <v>55</v>
      </c>
      <c r="G29" s="19">
        <f>G107*10^6</f>
        <v>3.4333333333333336</v>
      </c>
      <c r="H29" s="17" t="s">
        <v>56</v>
      </c>
      <c r="J29" s="16" t="s">
        <v>77</v>
      </c>
      <c r="K29" s="20">
        <f>0.5*Nps/(KEAI*Rated_Iout)</f>
        <v>0.8509003074220467</v>
      </c>
      <c r="L29" s="17" t="s">
        <v>6</v>
      </c>
      <c r="N29" s="16" t="s">
        <v>261</v>
      </c>
      <c r="O29" s="3">
        <v>100</v>
      </c>
      <c r="P29" s="17" t="s">
        <v>262</v>
      </c>
      <c r="R29" s="2" t="s">
        <v>242</v>
      </c>
      <c r="S29" s="43">
        <v>0.5</v>
      </c>
      <c r="T29" s="2" t="s">
        <v>69</v>
      </c>
    </row>
    <row r="30" spans="2:20" ht="15.6">
      <c r="B30" s="2" t="s">
        <v>57</v>
      </c>
      <c r="C30" s="41">
        <v>50</v>
      </c>
      <c r="D30" s="2" t="s">
        <v>5</v>
      </c>
      <c r="F30" s="2" t="s">
        <v>29</v>
      </c>
      <c r="G30" s="41">
        <v>36</v>
      </c>
      <c r="H30" s="2" t="s">
        <v>58</v>
      </c>
      <c r="J30" s="2" t="s">
        <v>225</v>
      </c>
      <c r="K30" s="41">
        <v>90</v>
      </c>
      <c r="L30" s="2" t="s">
        <v>224</v>
      </c>
      <c r="N30" s="67" t="s">
        <v>192</v>
      </c>
      <c r="O30" s="67"/>
      <c r="P30" s="67"/>
      <c r="R30" s="16" t="s">
        <v>236</v>
      </c>
      <c r="S30" s="3">
        <f>R.DP2*0.001</f>
        <v>240</v>
      </c>
      <c r="T30" s="17" t="s">
        <v>53</v>
      </c>
    </row>
    <row r="31" spans="2:20" ht="15.6">
      <c r="B31" s="2" t="s">
        <v>60</v>
      </c>
      <c r="C31" s="41">
        <v>21</v>
      </c>
      <c r="D31" s="2" t="s">
        <v>4</v>
      </c>
      <c r="E31" s="15"/>
      <c r="F31" s="2" t="s">
        <v>61</v>
      </c>
      <c r="G31" s="44">
        <v>0.3</v>
      </c>
      <c r="H31" s="2"/>
      <c r="J31" s="16" t="s">
        <v>229</v>
      </c>
      <c r="K31" s="3">
        <f>IF(Vcs.pk.ini&gt;0.15,IF(Rcomp.total-Rcomp.int&gt;0,Rcomp.total-Rcomp.int,0),IF(Rcomp.total-Rcomp.int&gt;50,Rcomp.total-Rcomp.int,50))</f>
        <v>200.18086801675702</v>
      </c>
      <c r="L31" s="17" t="s">
        <v>6</v>
      </c>
      <c r="N31" s="2" t="s">
        <v>97</v>
      </c>
      <c r="O31" s="41">
        <v>115</v>
      </c>
      <c r="P31" s="2" t="s">
        <v>66</v>
      </c>
      <c r="R31" s="16" t="s">
        <v>232</v>
      </c>
      <c r="S31" s="3">
        <f>S104*0.001</f>
        <v>45.714285714285708</v>
      </c>
      <c r="T31" s="17" t="s">
        <v>53</v>
      </c>
    </row>
    <row r="32" spans="2:20" ht="15.6">
      <c r="B32" s="2" t="s">
        <v>62</v>
      </c>
      <c r="C32" s="41">
        <v>24</v>
      </c>
      <c r="D32" s="2" t="s">
        <v>4</v>
      </c>
      <c r="E32" s="15"/>
      <c r="F32" s="16" t="s">
        <v>63</v>
      </c>
      <c r="G32" s="5">
        <f>G105*1000</f>
        <v>1.3639195625000002</v>
      </c>
      <c r="H32" s="17" t="s">
        <v>64</v>
      </c>
      <c r="J32" s="2" t="s">
        <v>78</v>
      </c>
      <c r="K32" s="43">
        <v>1</v>
      </c>
      <c r="L32" s="2" t="s">
        <v>79</v>
      </c>
      <c r="N32" s="2" t="s">
        <v>80</v>
      </c>
      <c r="O32" s="41">
        <v>68</v>
      </c>
      <c r="P32" s="2" t="s">
        <v>66</v>
      </c>
      <c r="R32" s="16" t="s">
        <v>233</v>
      </c>
      <c r="S32" s="3">
        <v>1</v>
      </c>
      <c r="T32" s="17" t="s">
        <v>53</v>
      </c>
    </row>
    <row r="33" spans="1:20" ht="15.6">
      <c r="B33" s="2" t="s">
        <v>67</v>
      </c>
      <c r="C33" s="41">
        <v>28</v>
      </c>
      <c r="D33" s="2" t="s">
        <v>4</v>
      </c>
      <c r="E33" s="15"/>
      <c r="F33" s="16" t="s">
        <v>72</v>
      </c>
      <c r="G33" s="19">
        <f>Ipk_max_final*Lm/Ae/BMAX</f>
        <v>90.124086435723072</v>
      </c>
      <c r="H33" s="17" t="s">
        <v>73</v>
      </c>
      <c r="J33" s="16" t="s">
        <v>81</v>
      </c>
      <c r="K33" s="3">
        <f>Rvs1_*0.001</f>
        <v>316.15971334852645</v>
      </c>
      <c r="L33" s="17" t="s">
        <v>53</v>
      </c>
      <c r="N33" s="2" t="s">
        <v>309</v>
      </c>
      <c r="O33" s="41">
        <v>1</v>
      </c>
      <c r="P33" s="2" t="s">
        <v>53</v>
      </c>
      <c r="R33" s="16" t="s">
        <v>237</v>
      </c>
      <c r="S33" s="3">
        <f>Iin.pk*2*1000</f>
        <v>145.2026759227991</v>
      </c>
      <c r="T33" s="17" t="s">
        <v>239</v>
      </c>
    </row>
    <row r="34" spans="1:20" ht="15.6">
      <c r="B34" s="2" t="s">
        <v>68</v>
      </c>
      <c r="C34" s="41">
        <v>360</v>
      </c>
      <c r="D34" s="2" t="s">
        <v>69</v>
      </c>
      <c r="F34" s="2" t="s">
        <v>173</v>
      </c>
      <c r="G34" s="41">
        <v>124</v>
      </c>
      <c r="H34" s="2" t="s">
        <v>73</v>
      </c>
      <c r="J34" s="16" t="s">
        <v>82</v>
      </c>
      <c r="K34" s="3">
        <f>Rvs2_*0.001</f>
        <v>39.535456118455485</v>
      </c>
      <c r="L34" s="17" t="s">
        <v>53</v>
      </c>
      <c r="N34" s="16" t="s">
        <v>194</v>
      </c>
      <c r="O34" s="3">
        <f>RRIVC</f>
        <v>46.11643269079336</v>
      </c>
      <c r="P34" s="17" t="s">
        <v>6</v>
      </c>
      <c r="R34" s="2" t="s">
        <v>238</v>
      </c>
      <c r="S34" s="41">
        <v>135</v>
      </c>
      <c r="T34" s="2" t="s">
        <v>69</v>
      </c>
    </row>
    <row r="35" spans="1:20" ht="15.6">
      <c r="A35" s="21"/>
      <c r="B35" s="16" t="s">
        <v>70</v>
      </c>
      <c r="C35" s="5">
        <f>Rated_Iout*Rated_Vout</f>
        <v>8.64</v>
      </c>
      <c r="D35" s="16" t="s">
        <v>22</v>
      </c>
      <c r="F35" s="16" t="s">
        <v>174</v>
      </c>
      <c r="G35" s="19">
        <f>Np/Nps_i</f>
        <v>46.298178075058736</v>
      </c>
      <c r="H35" s="17" t="s">
        <v>176</v>
      </c>
      <c r="J35" s="2" t="s">
        <v>306</v>
      </c>
      <c r="K35" s="41">
        <v>10</v>
      </c>
      <c r="L35" s="2" t="s">
        <v>262</v>
      </c>
      <c r="M35" s="22"/>
      <c r="N35" s="16" t="s">
        <v>307</v>
      </c>
      <c r="O35" s="3">
        <f>5/RRIVC*1000</f>
        <v>108.42122229020968</v>
      </c>
      <c r="P35" s="17" t="s">
        <v>69</v>
      </c>
      <c r="Q35" s="22"/>
      <c r="R35" s="16" t="s">
        <v>264</v>
      </c>
      <c r="S35" s="3">
        <f>(6.2-3)/I.DP.MAX</f>
        <v>23.703703703703702</v>
      </c>
      <c r="T35" s="17" t="s">
        <v>6</v>
      </c>
    </row>
    <row r="36" spans="1:20" ht="15.6">
      <c r="A36" s="21"/>
      <c r="B36" s="67" t="s">
        <v>71</v>
      </c>
      <c r="C36" s="67"/>
      <c r="D36" s="67"/>
      <c r="E36" s="15"/>
      <c r="F36" s="2" t="s">
        <v>175</v>
      </c>
      <c r="G36" s="41">
        <v>44</v>
      </c>
      <c r="H36" s="2" t="s">
        <v>73</v>
      </c>
      <c r="J36" s="67" t="s">
        <v>74</v>
      </c>
      <c r="K36" s="67"/>
      <c r="L36" s="67"/>
      <c r="M36" s="22"/>
      <c r="N36" s="2" t="s">
        <v>195</v>
      </c>
      <c r="O36" s="41">
        <v>96</v>
      </c>
      <c r="P36" s="2" t="s">
        <v>69</v>
      </c>
      <c r="Q36" s="22"/>
      <c r="R36" s="2" t="s">
        <v>250</v>
      </c>
      <c r="S36" s="43">
        <v>10</v>
      </c>
      <c r="T36" s="4" t="s">
        <v>66</v>
      </c>
    </row>
    <row r="37" spans="1:20" ht="15.6">
      <c r="A37" s="21"/>
      <c r="B37" s="2" t="s">
        <v>302</v>
      </c>
      <c r="C37" s="41">
        <v>130</v>
      </c>
      <c r="D37" s="4" t="s">
        <v>104</v>
      </c>
      <c r="E37" s="15"/>
      <c r="F37" s="16" t="s">
        <v>177</v>
      </c>
      <c r="G37" s="19">
        <f>Np*Nap_i</f>
        <v>41.337658995588157</v>
      </c>
      <c r="H37" s="17" t="s">
        <v>73</v>
      </c>
      <c r="J37" s="16" t="s">
        <v>269</v>
      </c>
      <c r="K37" s="3">
        <f>RHOLD*0.001</f>
        <v>18.226284584980245</v>
      </c>
      <c r="L37" s="17" t="s">
        <v>137</v>
      </c>
      <c r="N37" s="16" t="s">
        <v>196</v>
      </c>
      <c r="O37" s="3">
        <f>RRIVC*Imax.ivc/40/10^-3</f>
        <v>110.67943845790407</v>
      </c>
      <c r="P37" s="17" t="s">
        <v>53</v>
      </c>
      <c r="R37" s="2" t="s">
        <v>247</v>
      </c>
      <c r="S37" s="41">
        <v>55</v>
      </c>
      <c r="T37" s="2" t="s">
        <v>230</v>
      </c>
    </row>
    <row r="38" spans="1:20" ht="15.6">
      <c r="A38" s="21"/>
      <c r="B38" s="16" t="s">
        <v>297</v>
      </c>
      <c r="C38" s="3">
        <f>C110*1000</f>
        <v>45.063370364575185</v>
      </c>
      <c r="D38" s="1" t="s">
        <v>239</v>
      </c>
      <c r="E38" s="15"/>
      <c r="F38" s="2" t="s">
        <v>178</v>
      </c>
      <c r="G38" s="41">
        <v>40</v>
      </c>
      <c r="H38" s="2" t="s">
        <v>73</v>
      </c>
      <c r="J38" s="2" t="s">
        <v>184</v>
      </c>
      <c r="K38" s="43">
        <v>1</v>
      </c>
      <c r="L38" s="2" t="s">
        <v>66</v>
      </c>
      <c r="N38" s="16" t="s">
        <v>197</v>
      </c>
      <c r="O38" s="3">
        <f>13/Imax.ivc-O34</f>
        <v>89.300233975873297</v>
      </c>
      <c r="P38" s="17" t="s">
        <v>6</v>
      </c>
      <c r="R38" s="2" t="s">
        <v>231</v>
      </c>
      <c r="S38" s="41">
        <v>30</v>
      </c>
      <c r="T38" s="2" t="s">
        <v>230</v>
      </c>
    </row>
    <row r="39" spans="1:20" ht="15.6">
      <c r="A39" s="21"/>
      <c r="B39" s="2" t="s">
        <v>253</v>
      </c>
      <c r="C39" s="42">
        <v>42</v>
      </c>
      <c r="D39" s="2" t="s">
        <v>69</v>
      </c>
      <c r="F39" s="2" t="s">
        <v>301</v>
      </c>
      <c r="G39" s="43">
        <v>7</v>
      </c>
      <c r="H39" s="2" t="s">
        <v>201</v>
      </c>
      <c r="J39" s="67" t="s">
        <v>191</v>
      </c>
      <c r="K39" s="67"/>
      <c r="L39" s="67"/>
      <c r="N39" s="16" t="s">
        <v>263</v>
      </c>
      <c r="O39" s="3">
        <f>IF(Rated_Vin&gt;170, 100, 50)</f>
        <v>100</v>
      </c>
      <c r="P39" s="17" t="s">
        <v>6</v>
      </c>
      <c r="R39" s="16" t="s">
        <v>243</v>
      </c>
      <c r="S39" s="19">
        <v>6.2</v>
      </c>
      <c r="T39" s="17" t="s">
        <v>230</v>
      </c>
    </row>
    <row r="40" spans="1:20" ht="15.6">
      <c r="A40" s="21"/>
      <c r="F40" s="67" t="s">
        <v>180</v>
      </c>
      <c r="G40" s="67"/>
      <c r="H40" s="67"/>
      <c r="J40" s="16" t="s">
        <v>185</v>
      </c>
      <c r="K40" s="3">
        <f>K121*10^-3</f>
        <v>333.33333333333343</v>
      </c>
      <c r="L40" s="17" t="s">
        <v>53</v>
      </c>
      <c r="N40" s="2" t="s">
        <v>311</v>
      </c>
      <c r="O40" s="41">
        <v>68</v>
      </c>
      <c r="P40" s="2" t="s">
        <v>66</v>
      </c>
    </row>
    <row r="41" spans="1:20" ht="15.6">
      <c r="A41" s="21"/>
      <c r="E41" s="15"/>
      <c r="F41" s="2" t="s">
        <v>208</v>
      </c>
      <c r="G41" s="45">
        <v>150</v>
      </c>
      <c r="H41" s="2" t="s">
        <v>181</v>
      </c>
      <c r="J41" s="2" t="s">
        <v>186</v>
      </c>
      <c r="K41" s="42">
        <v>330</v>
      </c>
      <c r="L41" s="4" t="s">
        <v>53</v>
      </c>
      <c r="N41" s="16" t="s">
        <v>310</v>
      </c>
      <c r="O41" s="3">
        <f>IF(Vcs.pk.ini&lt;0.15, IF( (O37*0.04)/(0.15-Vcs.pk.ini)*Rcomp*0.001 &gt; 100, 100, (O37*0.04)/(0.15-Vcs.pk.ini)*Rcomp*0.001 ), "open")</f>
        <v>49.668892932037352</v>
      </c>
      <c r="P41" s="17" t="s">
        <v>317</v>
      </c>
    </row>
    <row r="42" spans="1:20" ht="15.6">
      <c r="A42" s="23"/>
      <c r="B42" s="78" t="s">
        <v>257</v>
      </c>
      <c r="C42" s="78"/>
      <c r="D42" s="78"/>
      <c r="E42" s="15"/>
      <c r="F42" s="4" t="s">
        <v>209</v>
      </c>
      <c r="G42" s="45">
        <v>10</v>
      </c>
      <c r="H42" s="2" t="s">
        <v>181</v>
      </c>
      <c r="J42" s="16" t="s">
        <v>187</v>
      </c>
      <c r="K42" s="3">
        <v>33</v>
      </c>
      <c r="L42" s="17" t="s">
        <v>66</v>
      </c>
      <c r="N42" s="67" t="s">
        <v>193</v>
      </c>
      <c r="O42" s="67"/>
      <c r="P42" s="67"/>
    </row>
    <row r="43" spans="1:20" ht="15.6">
      <c r="A43" s="23"/>
      <c r="B43" s="79" t="s">
        <v>258</v>
      </c>
      <c r="C43" s="79"/>
      <c r="D43" s="79"/>
      <c r="E43" s="23"/>
      <c r="F43" s="1" t="s">
        <v>255</v>
      </c>
      <c r="G43" s="3">
        <f>Rsn/1000</f>
        <v>115.51961476024137</v>
      </c>
      <c r="H43" s="1" t="s">
        <v>182</v>
      </c>
      <c r="J43" s="16" t="s">
        <v>188</v>
      </c>
      <c r="K43" s="3" t="s">
        <v>123</v>
      </c>
      <c r="L43" s="17"/>
      <c r="N43" s="50" t="s">
        <v>450</v>
      </c>
      <c r="O43" s="5">
        <f>O27</f>
        <v>2</v>
      </c>
      <c r="P43" s="17" t="s">
        <v>48</v>
      </c>
    </row>
    <row r="44" spans="1:20" ht="15.6">
      <c r="A44" s="23"/>
      <c r="F44" s="1" t="s">
        <v>256</v>
      </c>
      <c r="G44" s="3">
        <f>G133*0.001</f>
        <v>187.85674359380883</v>
      </c>
      <c r="H44" s="1" t="s">
        <v>182</v>
      </c>
      <c r="J44" s="16" t="s">
        <v>189</v>
      </c>
      <c r="K44" s="3" t="s">
        <v>124</v>
      </c>
      <c r="L44" s="17"/>
      <c r="M44" s="24"/>
      <c r="N44" s="16" t="s">
        <v>199</v>
      </c>
      <c r="O44" s="3">
        <v>1</v>
      </c>
      <c r="P44" s="17" t="s">
        <v>53</v>
      </c>
      <c r="Q44" s="24"/>
    </row>
    <row r="45" spans="1:20" ht="15.6">
      <c r="A45" s="23"/>
      <c r="F45" s="1" t="s">
        <v>210</v>
      </c>
      <c r="G45" s="3">
        <f>Csn*10^9</f>
        <v>2.1641346408475299</v>
      </c>
      <c r="H45" s="1" t="s">
        <v>183</v>
      </c>
      <c r="J45" s="16" t="s">
        <v>190</v>
      </c>
      <c r="K45" s="19">
        <f>RICC1*0.001</f>
        <v>11.440560877579571</v>
      </c>
      <c r="L45" s="17" t="s">
        <v>53</v>
      </c>
      <c r="M45" s="24"/>
      <c r="N45" s="16" t="s">
        <v>200</v>
      </c>
      <c r="O45" s="19">
        <v>6.8</v>
      </c>
      <c r="P45" s="17" t="s">
        <v>66</v>
      </c>
      <c r="Q45" s="24"/>
    </row>
    <row r="46" spans="1:20" ht="15.6">
      <c r="A46" s="23"/>
      <c r="F46" s="67" t="s">
        <v>207</v>
      </c>
      <c r="G46" s="67"/>
      <c r="H46" s="67"/>
      <c r="J46" s="16" t="s">
        <v>260</v>
      </c>
      <c r="K46" s="19">
        <f>RICC2*0.001</f>
        <v>8.5594391224204287</v>
      </c>
      <c r="L46" s="17" t="s">
        <v>53</v>
      </c>
      <c r="M46" s="24"/>
      <c r="Q46" s="24"/>
    </row>
    <row r="47" spans="1:20" ht="15.6">
      <c r="A47" s="23"/>
      <c r="F47" s="1" t="s">
        <v>213</v>
      </c>
      <c r="G47" s="3">
        <f>peak_Vin_max+Vsn</f>
        <v>523.35238046649715</v>
      </c>
      <c r="H47" s="1" t="s">
        <v>4</v>
      </c>
      <c r="J47" s="67" t="s">
        <v>59</v>
      </c>
      <c r="K47" s="67"/>
      <c r="L47" s="67"/>
      <c r="R47" s="25"/>
      <c r="S47" s="25"/>
      <c r="T47" s="26"/>
    </row>
    <row r="48" spans="1:20" ht="15.6">
      <c r="A48" s="23"/>
      <c r="F48" s="1" t="s">
        <v>214</v>
      </c>
      <c r="G48" s="5">
        <f>Ipk_max_final</f>
        <v>0.71363455754071203</v>
      </c>
      <c r="H48" s="1" t="s">
        <v>7</v>
      </c>
      <c r="J48" s="16" t="s">
        <v>95</v>
      </c>
      <c r="K48" s="3">
        <f>Rdim1*0.001</f>
        <v>0</v>
      </c>
      <c r="L48" s="17" t="s">
        <v>53</v>
      </c>
    </row>
    <row r="49" spans="1:17" ht="15.6">
      <c r="A49" s="23"/>
      <c r="F49" s="1" t="s">
        <v>215</v>
      </c>
      <c r="G49" s="5">
        <f>Isw.rms</f>
        <v>0.11758732357372376</v>
      </c>
      <c r="H49" s="1" t="s">
        <v>7</v>
      </c>
      <c r="J49" s="16" t="s">
        <v>96</v>
      </c>
      <c r="K49" s="3">
        <f>Rdim2*0.001</f>
        <v>114.23076923076924</v>
      </c>
      <c r="L49" s="17" t="s">
        <v>53</v>
      </c>
      <c r="Q49" s="22"/>
    </row>
    <row r="50" spans="1:17" ht="15.6">
      <c r="A50" s="23"/>
      <c r="F50" s="1" t="s">
        <v>216</v>
      </c>
      <c r="G50" s="3">
        <f>Max_Vout+peak_Vin_max/Nps</f>
        <v>160.47987693972476</v>
      </c>
      <c r="H50" s="1" t="s">
        <v>4</v>
      </c>
      <c r="J50" s="16" t="s">
        <v>65</v>
      </c>
      <c r="K50" s="3">
        <f>K156*10^9</f>
        <v>437.71043771043776</v>
      </c>
      <c r="L50" s="17" t="s">
        <v>66</v>
      </c>
      <c r="Q50" s="22"/>
    </row>
    <row r="51" spans="1:17" ht="15">
      <c r="A51" s="23"/>
      <c r="F51" s="1" t="s">
        <v>217</v>
      </c>
      <c r="G51" s="5">
        <f>Ipk_max_final*Nps</f>
        <v>2.0111519348874611</v>
      </c>
      <c r="H51" s="1" t="s">
        <v>7</v>
      </c>
      <c r="Q51" s="22"/>
    </row>
    <row r="52" spans="1:17" ht="15">
      <c r="A52" s="23"/>
      <c r="F52" s="1" t="s">
        <v>218</v>
      </c>
      <c r="G52" s="5">
        <f>Rated_Iout</f>
        <v>0.36</v>
      </c>
      <c r="H52" s="1" t="s">
        <v>7</v>
      </c>
    </row>
    <row r="54" spans="1:17" s="31" customFormat="1"/>
    <row r="55" spans="1:17" s="31" customFormat="1"/>
    <row r="56" spans="1:17" s="31" customFormat="1"/>
    <row r="57" spans="1:17" s="31" customFormat="1"/>
    <row r="58" spans="1:17" s="31" customFormat="1"/>
    <row r="59" spans="1:17" s="31" customFormat="1"/>
    <row r="60" spans="1:17" s="31" customFormat="1"/>
    <row r="61" spans="1:17" s="31" customFormat="1"/>
    <row r="62" spans="1:17" s="31" customFormat="1"/>
    <row r="63" spans="1:17" s="31" customFormat="1"/>
    <row r="64" spans="1:17" s="31" customFormat="1"/>
    <row r="65" s="31" customFormat="1"/>
    <row r="66" s="31" customFormat="1"/>
    <row r="67" s="31" customFormat="1"/>
    <row r="68" s="31" customFormat="1"/>
    <row r="69" s="31" customFormat="1"/>
    <row r="70" s="31" customFormat="1"/>
    <row r="71" s="31" customFormat="1"/>
    <row r="72" s="31" customFormat="1"/>
    <row r="73" s="31" customFormat="1"/>
    <row r="74" s="31" customFormat="1"/>
    <row r="75" s="31" customFormat="1"/>
    <row r="76" s="31" customFormat="1"/>
    <row r="77" s="31" customFormat="1"/>
    <row r="78" s="31" customFormat="1"/>
    <row r="79" s="31" customFormat="1"/>
    <row r="80" s="31" customFormat="1"/>
    <row r="81" s="31" customFormat="1"/>
    <row r="82" s="31" customFormat="1"/>
    <row r="83" s="31" customFormat="1"/>
    <row r="84" s="31" customFormat="1"/>
    <row r="85" s="31" customFormat="1"/>
    <row r="86" s="31" customFormat="1"/>
    <row r="87" s="31" customFormat="1"/>
    <row r="88" s="31" customFormat="1"/>
    <row r="89" s="31" customFormat="1"/>
    <row r="90" s="31" customFormat="1"/>
    <row r="91" s="31" customFormat="1"/>
    <row r="92" s="31" customFormat="1"/>
    <row r="93" s="31" customFormat="1"/>
    <row r="94" s="31" customFormat="1"/>
    <row r="95" s="31" customFormat="1"/>
    <row r="96" s="31" customFormat="1"/>
    <row r="97" spans="1:20" s="31" customFormat="1"/>
    <row r="98" spans="1:20" s="31" customFormat="1"/>
    <row r="99" spans="1:20" s="31" customFormat="1">
      <c r="A99" s="32"/>
    </row>
    <row r="100" spans="1:20" s="33" customFormat="1">
      <c r="A100" s="27"/>
      <c r="B100" s="77" t="s">
        <v>0</v>
      </c>
      <c r="C100" s="66"/>
      <c r="D100" s="66"/>
      <c r="E100" s="30"/>
      <c r="F100" s="65" t="s">
        <v>1</v>
      </c>
      <c r="G100" s="66"/>
      <c r="H100" s="66"/>
      <c r="I100" s="30"/>
      <c r="J100" s="65" t="s">
        <v>33</v>
      </c>
      <c r="K100" s="66"/>
      <c r="L100" s="66"/>
      <c r="M100" s="30"/>
      <c r="N100" s="65" t="s">
        <v>2</v>
      </c>
      <c r="O100" s="65"/>
      <c r="P100" s="65"/>
      <c r="Q100" s="30"/>
      <c r="R100" s="65" t="s">
        <v>259</v>
      </c>
      <c r="S100" s="65"/>
      <c r="T100" s="65"/>
    </row>
    <row r="101" spans="1:20" s="33" customFormat="1" ht="15.6">
      <c r="A101" s="30"/>
      <c r="B101" s="34" t="s">
        <v>3</v>
      </c>
      <c r="C101" s="34">
        <f>Min_Vin*2^0.5</f>
        <v>280.01428534987286</v>
      </c>
      <c r="D101" s="34" t="s">
        <v>4</v>
      </c>
      <c r="E101" s="30"/>
      <c r="F101" s="34" t="s">
        <v>86</v>
      </c>
      <c r="G101" s="34">
        <f>G28*1000</f>
        <v>60000</v>
      </c>
      <c r="H101" s="34" t="s">
        <v>5</v>
      </c>
      <c r="I101" s="30"/>
      <c r="J101" s="34" t="s">
        <v>321</v>
      </c>
      <c r="K101" s="34">
        <f>Max_VCS/Ipk_max</f>
        <v>0.80866278292577398</v>
      </c>
      <c r="L101" s="35" t="s">
        <v>6</v>
      </c>
      <c r="M101" s="30"/>
      <c r="N101" s="34" t="s">
        <v>92</v>
      </c>
      <c r="O101" s="34">
        <f>AVERAGE(peak_Vin_min,peak_Vin_max)</f>
        <v>326.68333290818498</v>
      </c>
      <c r="P101" s="35" t="s">
        <v>4</v>
      </c>
      <c r="Q101" s="30"/>
      <c r="R101" s="34" t="s">
        <v>244</v>
      </c>
      <c r="S101" s="34">
        <f>S29*0.001</f>
        <v>5.0000000000000001E-4</v>
      </c>
      <c r="T101" s="35" t="s">
        <v>7</v>
      </c>
    </row>
    <row r="102" spans="1:20" s="33" customFormat="1" ht="15.6">
      <c r="A102" s="30"/>
      <c r="B102" s="34" t="s">
        <v>8</v>
      </c>
      <c r="C102" s="34">
        <f>Rated_Vin*(2)^0.5</f>
        <v>325.26911934581187</v>
      </c>
      <c r="D102" s="34" t="s">
        <v>4</v>
      </c>
      <c r="E102" s="30"/>
      <c r="F102" s="34" t="s">
        <v>87</v>
      </c>
      <c r="G102" s="34">
        <f>1/Switch_freq</f>
        <v>1.6666666666666667E-5</v>
      </c>
      <c r="H102" s="34" t="s">
        <v>15</v>
      </c>
      <c r="I102" s="30"/>
      <c r="J102" s="34" t="s">
        <v>226</v>
      </c>
      <c r="K102" s="34">
        <v>130</v>
      </c>
      <c r="L102" s="35" t="s">
        <v>6</v>
      </c>
      <c r="M102" s="30"/>
      <c r="N102" s="34" t="s">
        <v>93</v>
      </c>
      <c r="O102" s="34">
        <v>16.8</v>
      </c>
      <c r="P102" s="35" t="s">
        <v>4</v>
      </c>
      <c r="Q102" s="30"/>
      <c r="R102" s="34" t="s">
        <v>245</v>
      </c>
      <c r="S102" s="34">
        <f>(Vsn-V.ZD.DP1)/I.DP.BIAS</f>
        <v>240000</v>
      </c>
      <c r="T102" s="35" t="s">
        <v>6</v>
      </c>
    </row>
    <row r="103" spans="1:20" s="33" customFormat="1" ht="15.6">
      <c r="A103" s="30"/>
      <c r="B103" s="34" t="s">
        <v>13</v>
      </c>
      <c r="C103" s="34">
        <f>Max_Vin*2^0.5</f>
        <v>373.3523804664971</v>
      </c>
      <c r="D103" s="34" t="s">
        <v>4</v>
      </c>
      <c r="E103" s="30"/>
      <c r="F103" s="34" t="s">
        <v>88</v>
      </c>
      <c r="G103" s="34">
        <v>70000</v>
      </c>
      <c r="H103" s="34" t="s">
        <v>5</v>
      </c>
      <c r="I103" s="30"/>
      <c r="J103" s="34" t="s">
        <v>227</v>
      </c>
      <c r="K103" s="34">
        <f>K30*10^-9</f>
        <v>9.0000000000000012E-8</v>
      </c>
      <c r="L103" s="35" t="s">
        <v>15</v>
      </c>
      <c r="M103" s="30"/>
      <c r="N103" s="34" t="s">
        <v>168</v>
      </c>
      <c r="O103" s="34">
        <f>IF(Rated_Vin&gt;180, 2000000, 620000)</f>
        <v>2000000</v>
      </c>
      <c r="P103" s="35" t="s">
        <v>6</v>
      </c>
      <c r="Q103" s="30"/>
      <c r="R103" s="34" t="s">
        <v>249</v>
      </c>
      <c r="S103" s="34">
        <v>4</v>
      </c>
      <c r="T103" s="35" t="s">
        <v>4</v>
      </c>
    </row>
    <row r="104" spans="1:20" s="33" customFormat="1" ht="15.6">
      <c r="A104" s="30"/>
      <c r="B104" s="34" t="s">
        <v>159</v>
      </c>
      <c r="C104" s="36">
        <f>AVERAGE(Min_Vin,Max_Vin)</f>
        <v>231</v>
      </c>
      <c r="D104" s="34" t="s">
        <v>4</v>
      </c>
      <c r="E104" s="30"/>
      <c r="F104" s="34" t="s">
        <v>89</v>
      </c>
      <c r="G104" s="34">
        <f>1/Switch_freq_D</f>
        <v>1.4285714285714285E-5</v>
      </c>
      <c r="H104" s="34" t="s">
        <v>15</v>
      </c>
      <c r="I104" s="30"/>
      <c r="J104" s="34" t="s">
        <v>228</v>
      </c>
      <c r="K104" s="34">
        <f>6*Tpd*RCS*Rvs1_/(Nap*Lm)</f>
        <v>330.18086801675702</v>
      </c>
      <c r="L104" s="35" t="s">
        <v>6</v>
      </c>
      <c r="M104" s="30"/>
      <c r="N104" s="34" t="s">
        <v>11</v>
      </c>
      <c r="O104" s="34">
        <f>PeakVIN*Rvin1/(CenterVin.pk-PeakVIN)</f>
        <v>108427.90312299665</v>
      </c>
      <c r="P104" s="35" t="s">
        <v>6</v>
      </c>
      <c r="Q104" s="30"/>
      <c r="R104" s="34" t="s">
        <v>248</v>
      </c>
      <c r="S104" s="34">
        <f>V.SW.DP.TH/(V.SN.MIN.ND-V.ZD.DP1-V.SW.DP.TH)*R.DP2</f>
        <v>45714.28571428571</v>
      </c>
      <c r="T104" s="35" t="s">
        <v>6</v>
      </c>
    </row>
    <row r="105" spans="1:20" s="33" customFormat="1" ht="15.6">
      <c r="A105" s="30"/>
      <c r="B105" s="34" t="s">
        <v>17</v>
      </c>
      <c r="C105" s="34">
        <f>1/Line_freq*0.5</f>
        <v>0.01</v>
      </c>
      <c r="D105" s="34" t="s">
        <v>15</v>
      </c>
      <c r="E105" s="30"/>
      <c r="F105" s="34" t="s">
        <v>9</v>
      </c>
      <c r="G105" s="34">
        <f>Eff*Min_Vin^2*Switch_freq*Max_Ton^2/2/Pout</f>
        <v>1.3639195625000002E-3</v>
      </c>
      <c r="H105" s="34" t="s">
        <v>10</v>
      </c>
      <c r="I105" s="30"/>
      <c r="J105" s="34" t="s">
        <v>35</v>
      </c>
      <c r="K105" s="34">
        <v>2.9</v>
      </c>
      <c r="L105" s="34" t="s">
        <v>4</v>
      </c>
      <c r="M105" s="30"/>
      <c r="N105" s="34" t="s">
        <v>108</v>
      </c>
      <c r="O105" s="34">
        <f>Rvin2/(Rvin1+Rvin2)</f>
        <v>5.1425947722658003E-2</v>
      </c>
      <c r="P105" s="35"/>
      <c r="Q105" s="30"/>
      <c r="R105" s="34" t="s">
        <v>235</v>
      </c>
      <c r="S105" s="34">
        <f>Pin/Min_Vin*2^0.5</f>
        <v>7.2601337961399545E-2</v>
      </c>
      <c r="T105" s="35" t="s">
        <v>7</v>
      </c>
    </row>
    <row r="106" spans="1:20" s="33" customFormat="1" ht="15.6">
      <c r="A106" s="30"/>
      <c r="B106" s="34" t="s">
        <v>19</v>
      </c>
      <c r="C106" s="34">
        <f>C34*0.001</f>
        <v>0.36</v>
      </c>
      <c r="D106" s="34" t="s">
        <v>7</v>
      </c>
      <c r="E106" s="30"/>
      <c r="F106" s="65" t="s">
        <v>90</v>
      </c>
      <c r="G106" s="66"/>
      <c r="H106" s="66"/>
      <c r="I106" s="30"/>
      <c r="J106" s="34" t="s">
        <v>36</v>
      </c>
      <c r="K106" s="34">
        <v>0.7</v>
      </c>
      <c r="L106" s="34" t="s">
        <v>4</v>
      </c>
      <c r="M106" s="30"/>
      <c r="N106" s="65" t="s">
        <v>100</v>
      </c>
      <c r="O106" s="65"/>
      <c r="P106" s="65"/>
      <c r="Q106" s="30"/>
      <c r="R106" s="34" t="s">
        <v>240</v>
      </c>
      <c r="S106" s="34">
        <f>S34*0.001</f>
        <v>0.13500000000000001</v>
      </c>
      <c r="T106" s="35" t="s">
        <v>7</v>
      </c>
    </row>
    <row r="107" spans="1:20" s="33" customFormat="1" ht="15.6">
      <c r="A107" s="30"/>
      <c r="B107" s="34" t="s">
        <v>20</v>
      </c>
      <c r="C107" s="34">
        <v>0.85</v>
      </c>
      <c r="D107" s="34"/>
      <c r="E107" s="30"/>
      <c r="F107" s="34" t="s">
        <v>14</v>
      </c>
      <c r="G107" s="34">
        <f>Max._Duty*0.01/Switch_freq</f>
        <v>3.4333333333333336E-6</v>
      </c>
      <c r="H107" s="34" t="s">
        <v>15</v>
      </c>
      <c r="I107" s="30"/>
      <c r="J107" s="34" t="s">
        <v>38</v>
      </c>
      <c r="K107" s="34">
        <f>67*10^-6</f>
        <v>6.7000000000000002E-5</v>
      </c>
      <c r="L107" s="34" t="s">
        <v>7</v>
      </c>
      <c r="M107" s="30"/>
      <c r="N107" s="34" t="s">
        <v>99</v>
      </c>
      <c r="O107" s="34">
        <f>600*10^-9</f>
        <v>6.0000000000000008E-7</v>
      </c>
      <c r="P107" s="35" t="s">
        <v>15</v>
      </c>
      <c r="Q107" s="30"/>
      <c r="R107" s="30"/>
      <c r="S107" s="30"/>
      <c r="T107" s="30"/>
    </row>
    <row r="108" spans="1:20" s="33" customFormat="1" ht="15.6">
      <c r="A108" s="30"/>
      <c r="B108" s="34" t="s">
        <v>21</v>
      </c>
      <c r="C108" s="34">
        <f>Pout/Eff</f>
        <v>10.164705882352942</v>
      </c>
      <c r="D108" s="34" t="s">
        <v>22</v>
      </c>
      <c r="E108" s="30"/>
      <c r="F108" s="34" t="s">
        <v>90</v>
      </c>
      <c r="G108" s="34">
        <f>peak_Vin_min*Max_Ton/Lm</f>
        <v>0.70486735884853924</v>
      </c>
      <c r="H108" s="34" t="s">
        <v>7</v>
      </c>
      <c r="I108" s="30"/>
      <c r="J108" s="34" t="s">
        <v>169</v>
      </c>
      <c r="K108" s="36">
        <f>peak_Vin_max*2.5*10^-6/Tdis.max</f>
        <v>65.666372462488951</v>
      </c>
      <c r="L108" s="34" t="s">
        <v>4</v>
      </c>
      <c r="M108" s="30"/>
      <c r="N108" s="34" t="s">
        <v>98</v>
      </c>
      <c r="O108" s="34">
        <f>(O31+O32)*10^-9</f>
        <v>1.8300000000000001E-7</v>
      </c>
      <c r="P108" s="35" t="s">
        <v>12</v>
      </c>
      <c r="Q108" s="30"/>
      <c r="R108" s="30"/>
      <c r="S108" s="30"/>
      <c r="T108" s="30"/>
    </row>
    <row r="109" spans="1:20" s="33" customFormat="1" ht="15.6">
      <c r="A109" s="30"/>
      <c r="B109" s="65" t="s">
        <v>85</v>
      </c>
      <c r="C109" s="66"/>
      <c r="D109" s="66"/>
      <c r="E109" s="30"/>
      <c r="F109" s="65" t="s">
        <v>23</v>
      </c>
      <c r="G109" s="66"/>
      <c r="H109" s="66"/>
      <c r="I109" s="30"/>
      <c r="J109" s="34" t="s">
        <v>170</v>
      </c>
      <c r="K109" s="36">
        <f>(Nps*Rated_Vout*2.5*10^-6)^2/(2*Lm*Ts_D*Iin.min)</f>
        <v>17.469099304741238</v>
      </c>
      <c r="L109" s="34" t="s">
        <v>4</v>
      </c>
      <c r="M109" s="30"/>
      <c r="N109" s="34" t="s">
        <v>103</v>
      </c>
      <c r="O109" s="34">
        <f>2*Lm/(Ton.min^2*Switch_freq_D)</f>
        <v>108247.58432539682</v>
      </c>
      <c r="P109" s="35" t="s">
        <v>6</v>
      </c>
      <c r="Q109" s="30"/>
      <c r="R109" s="30"/>
      <c r="S109" s="30"/>
      <c r="T109" s="30"/>
    </row>
    <row r="110" spans="1:20" s="33" customFormat="1" ht="15.6">
      <c r="A110" s="30"/>
      <c r="B110" s="34" t="s">
        <v>251</v>
      </c>
      <c r="C110" s="34">
        <f>Pout/Mean_Vin/0.83</f>
        <v>4.5063370364575188E-2</v>
      </c>
      <c r="D110" s="34" t="s">
        <v>7</v>
      </c>
      <c r="E110" s="30"/>
      <c r="F110" s="34" t="s">
        <v>23</v>
      </c>
      <c r="G110" s="34">
        <f xml:space="preserve"> ( (2*Ts_D*Iin.minVin.maxPA*peak_Vin_min)/Lm )^0.5</f>
        <v>0.63812128931787404</v>
      </c>
      <c r="H110" s="34" t="s">
        <v>7</v>
      </c>
      <c r="I110" s="30"/>
      <c r="J110" s="34" t="s">
        <v>171</v>
      </c>
      <c r="K110" s="36">
        <f>IF(VIN.BNK.ND&gt;VIN.BNK.D,VIN.BNK.ND,VIN.BNK.D)</f>
        <v>65.666372462488951</v>
      </c>
      <c r="L110" s="34" t="s">
        <v>4</v>
      </c>
      <c r="M110" s="30"/>
      <c r="N110" s="34" t="s">
        <v>117</v>
      </c>
      <c r="O110" s="34">
        <f>Mean_Vin*2^0.5</f>
        <v>326.68333290818498</v>
      </c>
      <c r="P110" s="35" t="s">
        <v>4</v>
      </c>
      <c r="Q110" s="30"/>
      <c r="R110" s="30"/>
      <c r="S110" s="30"/>
      <c r="T110" s="30"/>
    </row>
    <row r="111" spans="1:20" s="33" customFormat="1" ht="15.6">
      <c r="A111" s="30"/>
      <c r="B111" s="34" t="s">
        <v>165</v>
      </c>
      <c r="C111" s="34">
        <f>C39*10^-3</f>
        <v>4.2000000000000003E-2</v>
      </c>
      <c r="D111" s="34" t="s">
        <v>7</v>
      </c>
      <c r="E111" s="30"/>
      <c r="F111" s="65" t="s">
        <v>91</v>
      </c>
      <c r="G111" s="66"/>
      <c r="H111" s="66"/>
      <c r="I111" s="30"/>
      <c r="J111" s="34" t="s">
        <v>39</v>
      </c>
      <c r="K111" s="34">
        <f>Nap*VIN.BNK.F/Ivs.bnk</f>
        <v>316159.71334852645</v>
      </c>
      <c r="L111" s="35" t="s">
        <v>6</v>
      </c>
      <c r="M111" s="30"/>
      <c r="N111" s="34" t="s">
        <v>105</v>
      </c>
      <c r="O111" s="34">
        <v>55</v>
      </c>
      <c r="P111" s="35" t="s">
        <v>75</v>
      </c>
      <c r="Q111" s="30"/>
      <c r="R111" s="30"/>
      <c r="S111" s="30"/>
      <c r="T111" s="30"/>
    </row>
    <row r="112" spans="1:20" s="33" customFormat="1" ht="15.6">
      <c r="A112" s="30"/>
      <c r="B112" s="34" t="s">
        <v>157</v>
      </c>
      <c r="C112" s="34">
        <f>PI()*Pin/( 2^0.5*Min_Vin*( 1 + COS(PI()-Max_PA*PI()/180) ) )</f>
        <v>6.941975597924166E-2</v>
      </c>
      <c r="D112" s="34" t="s">
        <v>7</v>
      </c>
      <c r="E112" s="30"/>
      <c r="F112" s="37" t="s">
        <v>84</v>
      </c>
      <c r="G112" s="34">
        <f>IF(Ipk_at_dim_dcm&gt;Ipk_at_non_dim,Ipk_at_dim_dcm,Ipk_at_non_dim)</f>
        <v>0.70486735884853924</v>
      </c>
      <c r="H112" s="34" t="s">
        <v>7</v>
      </c>
      <c r="I112" s="30"/>
      <c r="J112" s="34" t="s">
        <v>41</v>
      </c>
      <c r="K112" s="34">
        <f>Rvs1_*Vvs.ovp/( (Max_Vout+Vf)*Nas - Vvs.ovp )</f>
        <v>39535.456118455484</v>
      </c>
      <c r="L112" s="35" t="s">
        <v>6</v>
      </c>
      <c r="M112" s="30"/>
      <c r="N112" s="34" t="s">
        <v>111</v>
      </c>
      <c r="O112" s="34">
        <f>Vin_ivc_pk*COS(A.ivc.start*PI()/180)</f>
        <v>187.37786190475919</v>
      </c>
      <c r="P112" s="35" t="s">
        <v>4</v>
      </c>
      <c r="Q112" s="30"/>
      <c r="R112" s="30"/>
      <c r="S112" s="30"/>
      <c r="T112" s="30"/>
    </row>
    <row r="113" spans="1:22" s="33" customFormat="1" ht="15.6">
      <c r="A113" s="30"/>
      <c r="B113" s="34" t="s">
        <v>158</v>
      </c>
      <c r="C113" s="34">
        <f>PI()*Pin/( 2^0.5*Min_Vin*2 )</f>
        <v>5.7020957495080626E-2</v>
      </c>
      <c r="D113" s="34" t="s">
        <v>7</v>
      </c>
      <c r="E113" s="30"/>
      <c r="F113" s="65" t="s">
        <v>24</v>
      </c>
      <c r="G113" s="66"/>
      <c r="H113" s="66"/>
      <c r="I113" s="30"/>
      <c r="J113" s="34" t="s">
        <v>42</v>
      </c>
      <c r="K113" s="34">
        <f>peak_Vin_min*Max_Ton/(Nps*Rated_Vout)</f>
        <v>1.4213986796657973E-5</v>
      </c>
      <c r="L113" s="34" t="s">
        <v>15</v>
      </c>
      <c r="M113" s="30"/>
      <c r="N113" s="34" t="s">
        <v>106</v>
      </c>
      <c r="O113" s="34">
        <f>A.ivc.start/180/(2*Line_freq)</f>
        <v>3.0555555555555557E-3</v>
      </c>
      <c r="P113" s="35" t="s">
        <v>15</v>
      </c>
      <c r="Q113" s="30"/>
      <c r="R113" s="30"/>
      <c r="S113" s="30"/>
      <c r="T113" s="30"/>
    </row>
    <row r="114" spans="1:22" s="33" customFormat="1" ht="15.6">
      <c r="A114" s="30"/>
      <c r="B114" s="34" t="s">
        <v>160</v>
      </c>
      <c r="C114" s="34">
        <f>PI()*Pin/( 2^0.5*Mean_Vin*( 1 + COS(PI()-Max_PA*PI()/180) ) )</f>
        <v>5.9502647982207134E-2</v>
      </c>
      <c r="D114" s="34" t="s">
        <v>7</v>
      </c>
      <c r="E114" s="30"/>
      <c r="F114" s="34" t="s">
        <v>24</v>
      </c>
      <c r="G114" s="34">
        <f>2*Iin.minVin.maxPA*(Rated_Vout*Nps+peak_Vin_min)/(Rated_Vout*Nps)</f>
        <v>0.71363455754071203</v>
      </c>
      <c r="H114" s="34" t="s">
        <v>7</v>
      </c>
      <c r="I114" s="30"/>
      <c r="J114" s="65" t="s">
        <v>32</v>
      </c>
      <c r="K114" s="65"/>
      <c r="L114" s="65"/>
      <c r="M114" s="30"/>
      <c r="N114" s="34" t="s">
        <v>110</v>
      </c>
      <c r="O114" s="34">
        <f>T.HLINE/2</f>
        <v>5.0000000000000001E-3</v>
      </c>
      <c r="P114" s="35" t="s">
        <v>15</v>
      </c>
      <c r="Q114" s="30"/>
      <c r="R114" s="30"/>
      <c r="S114" s="30"/>
      <c r="T114" s="30"/>
    </row>
    <row r="115" spans="1:22" s="33" customFormat="1" ht="15.6">
      <c r="A115" s="30"/>
      <c r="B115" s="34" t="s">
        <v>161</v>
      </c>
      <c r="C115" s="34">
        <f>PI()*Pin/( 2^0.5*Mean_Vin*2 )</f>
        <v>4.8875106424354831E-2</v>
      </c>
      <c r="D115" s="34" t="s">
        <v>7</v>
      </c>
      <c r="E115" s="30"/>
      <c r="F115" s="34" t="s">
        <v>25</v>
      </c>
      <c r="G115" s="34">
        <f>G114*Lm/peak_Vin_min</f>
        <v>3.4760374181968541E-6</v>
      </c>
      <c r="H115" s="34" t="s">
        <v>15</v>
      </c>
      <c r="I115" s="30"/>
      <c r="J115" s="34" t="s">
        <v>34</v>
      </c>
      <c r="K115" s="34">
        <v>510000</v>
      </c>
      <c r="L115" s="35"/>
      <c r="M115" s="30"/>
      <c r="N115" s="34" t="s">
        <v>107</v>
      </c>
      <c r="O115" s="34">
        <f>4.8/rvin</f>
        <v>93.338095116624274</v>
      </c>
      <c r="P115" s="35" t="s">
        <v>4</v>
      </c>
      <c r="Q115" s="30"/>
      <c r="R115" s="30"/>
      <c r="S115" s="30"/>
      <c r="T115" s="30"/>
    </row>
    <row r="116" spans="1:22" s="33" customFormat="1" ht="15.6">
      <c r="A116" s="30"/>
      <c r="B116" s="30"/>
      <c r="C116" s="30"/>
      <c r="D116" s="30"/>
      <c r="E116" s="30"/>
      <c r="F116" s="34" t="s">
        <v>26</v>
      </c>
      <c r="G116" s="34">
        <f>G115*(peak_Vin_min+Nps*Rated_Vout)/(Nps*Rated_Vout)</f>
        <v>1.7866818961965539E-5</v>
      </c>
      <c r="H116" s="34" t="s">
        <v>15</v>
      </c>
      <c r="I116" s="30"/>
      <c r="J116" s="34" t="s">
        <v>268</v>
      </c>
      <c r="K116" s="34">
        <f>RCS*Iin.min*Kicc.hold</f>
        <v>18226.284584980243</v>
      </c>
      <c r="L116" s="35" t="s">
        <v>6</v>
      </c>
      <c r="M116" s="30"/>
      <c r="N116" s="34" t="s">
        <v>109</v>
      </c>
      <c r="O116" s="34">
        <f>ACOS(Vin.ivc.clamp/Vin_ivc_pk)/(2*PI()*Line_freq)</f>
        <v>4.0776916889433195E-3</v>
      </c>
      <c r="P116" s="35" t="s">
        <v>15</v>
      </c>
      <c r="Q116" s="30"/>
      <c r="R116" s="30"/>
      <c r="S116" s="30"/>
      <c r="T116" s="30"/>
    </row>
    <row r="117" spans="1:22" s="33" customFormat="1">
      <c r="A117" s="30"/>
      <c r="B117" s="30"/>
      <c r="C117" s="30"/>
      <c r="D117" s="30"/>
      <c r="E117" s="30"/>
      <c r="F117" s="34" t="s">
        <v>27</v>
      </c>
      <c r="G117" s="34">
        <f>1/G116</f>
        <v>55969.672168771416</v>
      </c>
      <c r="H117" s="34" t="s">
        <v>5</v>
      </c>
      <c r="I117" s="30"/>
      <c r="J117" s="65" t="s">
        <v>37</v>
      </c>
      <c r="K117" s="65"/>
      <c r="L117" s="65"/>
      <c r="M117" s="30"/>
      <c r="N117" s="65" t="s">
        <v>114</v>
      </c>
      <c r="O117" s="66"/>
      <c r="P117" s="66"/>
      <c r="Q117" s="30"/>
      <c r="R117" s="30"/>
      <c r="S117" s="30"/>
      <c r="T117" s="30"/>
    </row>
    <row r="118" spans="1:22" s="33" customFormat="1" ht="15.6">
      <c r="A118" s="30"/>
      <c r="B118" s="30"/>
      <c r="C118" s="30"/>
      <c r="D118" s="30"/>
      <c r="E118" s="30"/>
      <c r="F118" s="65" t="s">
        <v>28</v>
      </c>
      <c r="G118" s="66"/>
      <c r="H118" s="66"/>
      <c r="I118" s="30"/>
      <c r="J118" s="34" t="s">
        <v>322</v>
      </c>
      <c r="K118" s="34">
        <v>3.5</v>
      </c>
      <c r="L118" s="35" t="s">
        <v>4</v>
      </c>
      <c r="M118" s="30"/>
      <c r="N118" s="34" t="s">
        <v>112</v>
      </c>
      <c r="O118" s="34">
        <f>Ctotal*Vin.ivc.start</f>
        <v>3.4290148728570934E-5</v>
      </c>
      <c r="P118" s="35" t="s">
        <v>113</v>
      </c>
      <c r="Q118" s="30"/>
      <c r="R118" s="30"/>
      <c r="S118" s="30"/>
      <c r="T118" s="30"/>
      <c r="V118" s="38"/>
    </row>
    <row r="119" spans="1:22" s="33" customFormat="1" ht="15.6">
      <c r="A119" s="30"/>
      <c r="B119" s="30"/>
      <c r="C119" s="30"/>
      <c r="D119" s="30"/>
      <c r="E119" s="30"/>
      <c r="F119" s="37" t="s">
        <v>28</v>
      </c>
      <c r="G119" s="34">
        <f>IF(Ipk_max&gt;Ipk_at_dim_bcm,Ipk_max,Ipk_at_dim_bcm)</f>
        <v>0.71363455754071203</v>
      </c>
      <c r="H119" s="34" t="s">
        <v>7</v>
      </c>
      <c r="I119" s="30"/>
      <c r="J119" s="34" t="s">
        <v>83</v>
      </c>
      <c r="K119" s="34">
        <f>15*10^-6</f>
        <v>1.4999999999999999E-5</v>
      </c>
      <c r="L119" s="34" t="s">
        <v>7</v>
      </c>
      <c r="M119" s="30"/>
      <c r="N119" s="34" t="s">
        <v>115</v>
      </c>
      <c r="O119" s="34">
        <f>Vin_ivc_pk/(Rfly*2*PI()*Line_freq)*( SIN(2*PI()*Line_freq*T.ivc.stop) - SIN(2*PI()*Line_freq*T.ivc.start) )</f>
        <v>1.7372907031519765E-6</v>
      </c>
      <c r="P119" s="35" t="s">
        <v>113</v>
      </c>
      <c r="Q119" s="30"/>
      <c r="R119" s="30"/>
      <c r="S119" s="30"/>
      <c r="T119" s="30"/>
    </row>
    <row r="120" spans="1:22" s="33" customFormat="1" ht="15.6">
      <c r="A120" s="30"/>
      <c r="B120" s="30"/>
      <c r="C120" s="30"/>
      <c r="D120" s="30"/>
      <c r="E120" s="30"/>
      <c r="F120" s="65" t="s">
        <v>323</v>
      </c>
      <c r="G120" s="66"/>
      <c r="H120" s="66"/>
      <c r="I120" s="30"/>
      <c r="J120" s="34" t="s">
        <v>40</v>
      </c>
      <c r="K120" s="34">
        <f>K42*10^-9</f>
        <v>3.3000000000000004E-8</v>
      </c>
      <c r="L120" s="34" t="s">
        <v>12</v>
      </c>
      <c r="M120" s="30"/>
      <c r="N120" s="34" t="s">
        <v>119</v>
      </c>
      <c r="O120" s="34">
        <f>1.6*(T.ivc.clamp-T.ivc.start)  -  Vin_ivc_pk*rvin*0.08/(2*PI()*Line_freq)*( SIN(2*PI()*Line_freq*T.ivc.clamp) - SIN(2*PI()*Line_freq*T.ivc.start) ) + 0.5*(T.ivc.stop-T.ivc.clamp)</f>
        <v>1.501221686022186E-3</v>
      </c>
      <c r="P120" s="35" t="s">
        <v>118</v>
      </c>
      <c r="Q120" s="30"/>
      <c r="R120" s="30"/>
      <c r="S120" s="30"/>
      <c r="T120" s="30"/>
    </row>
    <row r="121" spans="1:22" s="33" customFormat="1" ht="15.6">
      <c r="A121" s="30"/>
      <c r="B121" s="30"/>
      <c r="C121" s="30"/>
      <c r="D121" s="30"/>
      <c r="E121" s="30"/>
      <c r="F121" s="34" t="s">
        <v>29</v>
      </c>
      <c r="G121" s="34">
        <f>G30*10^-6</f>
        <v>3.6000000000000001E-5</v>
      </c>
      <c r="H121" s="34" t="s">
        <v>324</v>
      </c>
      <c r="I121" s="30"/>
      <c r="J121" s="34" t="s">
        <v>144</v>
      </c>
      <c r="K121" s="34">
        <f>0.5*(VFB.BOUND+1)/(15*10^-6 - 33*10^-9*(VFB.BOUND-1)/T.HLINE)</f>
        <v>333333.33333333343</v>
      </c>
      <c r="L121" s="34" t="s">
        <v>6</v>
      </c>
      <c r="M121" s="30"/>
      <c r="N121" s="34" t="s">
        <v>116</v>
      </c>
      <c r="O121" s="34">
        <f>A.Vrivc/(Q_Ctotal-Q_fly)</f>
        <v>46.11643269079336</v>
      </c>
      <c r="P121" s="35" t="s">
        <v>6</v>
      </c>
      <c r="Q121" s="30"/>
      <c r="R121" s="30"/>
      <c r="S121" s="30"/>
      <c r="T121" s="30"/>
    </row>
    <row r="122" spans="1:22" s="33" customFormat="1">
      <c r="A122" s="30"/>
      <c r="B122" s="30"/>
      <c r="C122" s="30"/>
      <c r="D122" s="30"/>
      <c r="E122" s="34"/>
      <c r="F122" s="34" t="s">
        <v>30</v>
      </c>
      <c r="G122" s="34">
        <v>4.5999999999999996</v>
      </c>
      <c r="H122" s="34"/>
      <c r="I122" s="30"/>
      <c r="J122" s="34" t="s">
        <v>143</v>
      </c>
      <c r="K122" s="34">
        <f>K41*1000</f>
        <v>330000</v>
      </c>
      <c r="L122" s="34" t="s">
        <v>6</v>
      </c>
      <c r="M122" s="30"/>
      <c r="N122" s="65" t="s">
        <v>101</v>
      </c>
      <c r="O122" s="65"/>
      <c r="P122" s="65"/>
      <c r="Q122" s="30"/>
      <c r="R122" s="30"/>
      <c r="S122" s="30"/>
      <c r="T122" s="30"/>
    </row>
    <row r="123" spans="1:22" s="33" customFormat="1" ht="15.6">
      <c r="A123" s="30"/>
      <c r="B123" s="30"/>
      <c r="C123" s="30"/>
      <c r="D123" s="30"/>
      <c r="E123" s="34"/>
      <c r="F123" s="34" t="s">
        <v>31</v>
      </c>
      <c r="G123" s="34">
        <v>1</v>
      </c>
      <c r="H123" s="34" t="s">
        <v>4</v>
      </c>
      <c r="I123" s="30"/>
      <c r="J123" s="34" t="s">
        <v>162</v>
      </c>
      <c r="K123" s="34">
        <f>14.2*10^-6*RTOP - (14.2*10^-6*RTOP - 1)*EXP(-T.HLINE/(RTOP*Ctop))</f>
        <v>3.2145207112022227</v>
      </c>
      <c r="L123" s="34" t="s">
        <v>4</v>
      </c>
      <c r="M123" s="30"/>
      <c r="N123" s="34" t="s">
        <v>120</v>
      </c>
      <c r="O123" s="34">
        <f>Ctotal*peak_Vin_max*(2*PI()*Line_freq)+Iin.min</f>
        <v>6.3464456050830703E-2</v>
      </c>
      <c r="P123" s="35" t="s">
        <v>7</v>
      </c>
      <c r="Q123" s="30"/>
      <c r="R123" s="30"/>
      <c r="S123" s="30"/>
      <c r="T123" s="30"/>
      <c r="V123" s="38"/>
    </row>
    <row r="124" spans="1:22" s="33" customFormat="1" ht="15.6">
      <c r="A124" s="30"/>
      <c r="B124" s="30"/>
      <c r="C124" s="30"/>
      <c r="D124" s="30"/>
      <c r="E124" s="34"/>
      <c r="F124" s="34" t="s">
        <v>325</v>
      </c>
      <c r="G124" s="39">
        <f>2*Rated_Iout*RCS_i*KEAI/Vref</f>
        <v>2.6782911370501634</v>
      </c>
      <c r="H124" s="35"/>
      <c r="I124" s="30"/>
      <c r="J124" s="65" t="s">
        <v>131</v>
      </c>
      <c r="K124" s="66"/>
      <c r="L124" s="66"/>
      <c r="M124" s="30"/>
      <c r="N124" s="34" t="s">
        <v>102</v>
      </c>
      <c r="O124" s="34">
        <f>O36*10^-3</f>
        <v>9.6000000000000002E-2</v>
      </c>
      <c r="P124" s="35" t="s">
        <v>7</v>
      </c>
      <c r="Q124" s="30"/>
      <c r="R124" s="30"/>
      <c r="S124" s="30"/>
      <c r="T124" s="30"/>
      <c r="V124" s="40"/>
    </row>
    <row r="125" spans="1:22" s="33" customFormat="1" ht="15.6">
      <c r="A125" s="30"/>
      <c r="B125" s="30"/>
      <c r="C125" s="30"/>
      <c r="D125" s="30"/>
      <c r="E125" s="34"/>
      <c r="F125" s="34" t="s">
        <v>326</v>
      </c>
      <c r="G125" s="39">
        <f>Np/Ns</f>
        <v>2.8181818181818183</v>
      </c>
      <c r="H125" s="35"/>
      <c r="I125" s="30"/>
      <c r="J125" s="34" t="s">
        <v>125</v>
      </c>
      <c r="K125" s="34">
        <v>0.4</v>
      </c>
      <c r="L125" s="35" t="s">
        <v>4</v>
      </c>
      <c r="M125" s="30"/>
      <c r="N125" s="65" t="s">
        <v>312</v>
      </c>
      <c r="O125" s="65"/>
      <c r="P125" s="65"/>
      <c r="Q125" s="30"/>
      <c r="R125" s="30"/>
      <c r="S125" s="30"/>
      <c r="T125" s="30"/>
      <c r="V125" s="40"/>
    </row>
    <row r="126" spans="1:22" s="33" customFormat="1" ht="15.6">
      <c r="A126" s="30"/>
      <c r="B126" s="30"/>
      <c r="C126" s="30"/>
      <c r="D126" s="30"/>
      <c r="E126" s="30"/>
      <c r="F126" s="34" t="s">
        <v>327</v>
      </c>
      <c r="G126" s="39">
        <f>25/Max_Vout</f>
        <v>0.8928571428571429</v>
      </c>
      <c r="H126" s="35"/>
      <c r="I126" s="30"/>
      <c r="J126" s="34" t="s">
        <v>126</v>
      </c>
      <c r="K126" s="34">
        <f>K125*(1-0.075)</f>
        <v>0.37000000000000005</v>
      </c>
      <c r="L126" s="35" t="s">
        <v>4</v>
      </c>
      <c r="M126" s="30"/>
      <c r="N126" s="34" t="s">
        <v>313</v>
      </c>
      <c r="O126" s="34">
        <f>O40*10^-9*0.9</f>
        <v>6.1200000000000005E-8</v>
      </c>
      <c r="P126" s="35" t="s">
        <v>12</v>
      </c>
      <c r="Q126" s="30"/>
      <c r="R126" s="30"/>
      <c r="S126" s="30"/>
      <c r="T126" s="30"/>
      <c r="V126" s="40"/>
    </row>
    <row r="127" spans="1:22" s="33" customFormat="1" ht="15.6">
      <c r="A127" s="30"/>
      <c r="B127" s="30"/>
      <c r="C127" s="30"/>
      <c r="D127" s="30"/>
      <c r="E127" s="30"/>
      <c r="F127" s="34" t="s">
        <v>328</v>
      </c>
      <c r="G127" s="39">
        <f>Na/Ns</f>
        <v>0.90909090909090906</v>
      </c>
      <c r="H127" s="35"/>
      <c r="I127" s="30"/>
      <c r="J127" s="34" t="s">
        <v>127</v>
      </c>
      <c r="K127" s="34">
        <f>K125*(1+0.075)</f>
        <v>0.43</v>
      </c>
      <c r="L127" s="35" t="s">
        <v>4</v>
      </c>
      <c r="M127" s="30"/>
      <c r="N127" s="34" t="s">
        <v>315</v>
      </c>
      <c r="O127" s="34">
        <f>1.5*(Rvin1+Rvin2)/Rvin2</f>
        <v>29.168154723945083</v>
      </c>
      <c r="P127" s="35" t="s">
        <v>316</v>
      </c>
      <c r="Q127" s="30"/>
      <c r="R127" s="30"/>
      <c r="S127" s="30"/>
      <c r="T127" s="30"/>
    </row>
    <row r="128" spans="1:22" s="33" customFormat="1" ht="15.6">
      <c r="A128" s="30"/>
      <c r="B128" s="30"/>
      <c r="C128" s="30"/>
      <c r="D128" s="30"/>
      <c r="E128" s="30"/>
      <c r="F128" s="34" t="s">
        <v>329</v>
      </c>
      <c r="G128" s="39">
        <f>Nas_i/Nps_i</f>
        <v>0.33336821770635611</v>
      </c>
      <c r="H128" s="35"/>
      <c r="I128" s="30"/>
      <c r="J128" s="34" t="s">
        <v>128</v>
      </c>
      <c r="K128" s="34">
        <f>K126*(1-0.4)</f>
        <v>0.22200000000000003</v>
      </c>
      <c r="L128" s="35" t="s">
        <v>4</v>
      </c>
      <c r="M128" s="30"/>
      <c r="N128" s="34" t="s">
        <v>314</v>
      </c>
      <c r="O128" s="34">
        <f>Vin.ini * C.IN2 / (Lm*1.15*C.IN2)^0.5 * SIN(10^-5/(Lm*1.15*C.IN2)^0.5) * RCS</f>
        <v>0.13215711705720784</v>
      </c>
      <c r="P128" s="35" t="s">
        <v>4</v>
      </c>
      <c r="Q128" s="30"/>
      <c r="R128" s="30"/>
      <c r="S128" s="30"/>
      <c r="T128" s="30"/>
    </row>
    <row r="129" spans="1:20" s="33" customFormat="1" ht="15.6">
      <c r="A129" s="30"/>
      <c r="B129" s="30"/>
      <c r="C129" s="30"/>
      <c r="D129" s="30"/>
      <c r="E129" s="30"/>
      <c r="F129" s="34" t="s">
        <v>330</v>
      </c>
      <c r="G129" s="39">
        <f>Na/Np</f>
        <v>0.32258064516129031</v>
      </c>
      <c r="H129" s="35"/>
      <c r="I129" s="30"/>
      <c r="J129" s="34" t="s">
        <v>129</v>
      </c>
      <c r="K129" s="34">
        <f>K127*(1+0.05)</f>
        <v>0.45150000000000001</v>
      </c>
      <c r="L129" s="35" t="s">
        <v>4</v>
      </c>
      <c r="M129" s="30"/>
      <c r="N129" s="34"/>
      <c r="O129" s="34"/>
      <c r="P129" s="35"/>
      <c r="Q129" s="30"/>
      <c r="R129" s="30"/>
      <c r="S129" s="30"/>
      <c r="T129" s="30"/>
    </row>
    <row r="130" spans="1:20" s="33" customFormat="1">
      <c r="A130" s="30"/>
      <c r="B130" s="30"/>
      <c r="C130" s="30"/>
      <c r="D130" s="30"/>
      <c r="E130" s="30"/>
      <c r="F130" s="65" t="s">
        <v>202</v>
      </c>
      <c r="G130" s="66"/>
      <c r="H130" s="66"/>
      <c r="I130" s="30"/>
      <c r="J130" s="65" t="s">
        <v>130</v>
      </c>
      <c r="K130" s="66"/>
      <c r="L130" s="66"/>
      <c r="M130" s="30"/>
      <c r="N130" s="30"/>
      <c r="O130" s="30"/>
      <c r="P130" s="30"/>
      <c r="Q130" s="30"/>
      <c r="R130" s="30"/>
      <c r="S130" s="30"/>
      <c r="T130" s="30"/>
    </row>
    <row r="131" spans="1:20" s="33" customFormat="1" ht="15.6">
      <c r="A131" s="30"/>
      <c r="B131" s="30"/>
      <c r="C131" s="30"/>
      <c r="D131" s="30"/>
      <c r="E131" s="30"/>
      <c r="F131" s="34" t="s">
        <v>203</v>
      </c>
      <c r="G131" s="34">
        <f>G39*10^-6</f>
        <v>6.9999999999999999E-6</v>
      </c>
      <c r="H131" s="34" t="s">
        <v>10</v>
      </c>
      <c r="I131" s="30"/>
      <c r="J131" s="34" t="s">
        <v>132</v>
      </c>
      <c r="K131" s="34">
        <v>1.4</v>
      </c>
      <c r="L131" s="35" t="s">
        <v>4</v>
      </c>
      <c r="M131" s="30"/>
      <c r="N131" s="30"/>
      <c r="O131" s="30"/>
      <c r="P131" s="30"/>
      <c r="Q131" s="30"/>
      <c r="R131" s="30"/>
      <c r="S131" s="30"/>
      <c r="T131" s="30"/>
    </row>
    <row r="132" spans="1:20" s="33" customFormat="1" ht="15.6">
      <c r="A132" s="30"/>
      <c r="B132" s="30"/>
      <c r="C132" s="30"/>
      <c r="D132" s="30"/>
      <c r="E132" s="30"/>
      <c r="F132" s="34" t="s">
        <v>204</v>
      </c>
      <c r="G132" s="34">
        <f>Vsn^2 / (0.5*Llk*Ipk_max_final^2*Vsn/(Vsn-Nps*Rated_Vout)*Switch_freq)</f>
        <v>115519.61476024137</v>
      </c>
      <c r="H132" s="34" t="s">
        <v>205</v>
      </c>
      <c r="I132" s="30"/>
      <c r="J132" s="34" t="s">
        <v>138</v>
      </c>
      <c r="K132" s="34">
        <f>K131*(1-0.12)</f>
        <v>1.232</v>
      </c>
      <c r="L132" s="35" t="s">
        <v>4</v>
      </c>
      <c r="M132" s="30"/>
      <c r="N132" s="30"/>
      <c r="O132" s="30"/>
      <c r="P132" s="30"/>
      <c r="Q132" s="30"/>
      <c r="R132" s="30"/>
      <c r="S132" s="30"/>
      <c r="T132" s="30"/>
    </row>
    <row r="133" spans="1:20" s="33" customFormat="1" ht="15.6">
      <c r="A133" s="30"/>
      <c r="B133" s="30"/>
      <c r="C133" s="30"/>
      <c r="D133" s="30"/>
      <c r="E133" s="30"/>
      <c r="F133" s="34" t="s">
        <v>246</v>
      </c>
      <c r="G133" s="34">
        <f>Vsn/(Vsn/Rsn-I.DP.BIAS)</f>
        <v>187856.74359380882</v>
      </c>
      <c r="H133" s="34" t="s">
        <v>205</v>
      </c>
      <c r="I133" s="30"/>
      <c r="J133" s="34" t="s">
        <v>134</v>
      </c>
      <c r="K133" s="34">
        <f>K131*(1+0.12)</f>
        <v>1.5680000000000001</v>
      </c>
      <c r="L133" s="35" t="s">
        <v>4</v>
      </c>
      <c r="M133" s="30"/>
      <c r="N133" s="30"/>
      <c r="O133" s="30"/>
      <c r="P133" s="30"/>
      <c r="Q133" s="30"/>
      <c r="R133" s="30"/>
      <c r="S133" s="30"/>
      <c r="T133" s="30"/>
    </row>
    <row r="134" spans="1:20" s="33" customFormat="1" ht="15.6">
      <c r="A134" s="30"/>
      <c r="B134" s="30"/>
      <c r="C134" s="30"/>
      <c r="D134" s="30"/>
      <c r="E134" s="30"/>
      <c r="F134" s="34" t="s">
        <v>206</v>
      </c>
      <c r="G134" s="34">
        <f>Vsn/(Vsn.r*Rsn*Switch_freq)</f>
        <v>2.1641346408475301E-9</v>
      </c>
      <c r="H134" s="34" t="s">
        <v>12</v>
      </c>
      <c r="I134" s="30"/>
      <c r="J134" s="34" t="s">
        <v>133</v>
      </c>
      <c r="K134" s="34">
        <f>K132*(1-0.16)</f>
        <v>1.03488</v>
      </c>
      <c r="L134" s="35" t="s">
        <v>4</v>
      </c>
      <c r="M134" s="30"/>
      <c r="N134" s="30"/>
      <c r="O134" s="30"/>
      <c r="P134" s="30"/>
      <c r="Q134" s="30"/>
      <c r="R134" s="30"/>
      <c r="S134" s="30"/>
      <c r="T134" s="30"/>
    </row>
    <row r="135" spans="1:20" s="33" customFormat="1" ht="15.6">
      <c r="A135" s="30"/>
      <c r="B135" s="30"/>
      <c r="C135" s="30"/>
      <c r="D135" s="30"/>
      <c r="E135" s="30"/>
      <c r="F135" s="65" t="s">
        <v>211</v>
      </c>
      <c r="G135" s="66"/>
      <c r="H135" s="66"/>
      <c r="I135" s="30"/>
      <c r="J135" s="34" t="s">
        <v>135</v>
      </c>
      <c r="K135" s="34">
        <f>K133*(1+0.03)</f>
        <v>1.61504</v>
      </c>
      <c r="L135" s="35" t="s">
        <v>4</v>
      </c>
      <c r="M135" s="30"/>
      <c r="N135" s="30"/>
      <c r="O135" s="30"/>
      <c r="P135" s="30"/>
      <c r="Q135" s="30"/>
      <c r="R135" s="30"/>
      <c r="S135" s="30"/>
      <c r="T135" s="30"/>
    </row>
    <row r="136" spans="1:20" s="33" customFormat="1">
      <c r="A136" s="30"/>
      <c r="B136" s="30"/>
      <c r="C136" s="30"/>
      <c r="D136" s="30"/>
      <c r="E136" s="30"/>
      <c r="F136" s="34" t="s">
        <v>212</v>
      </c>
      <c r="G136" s="34">
        <f>2*peak_Vin_min/(PI()*Lm)*(Max_Ton^3/(3*Ts))^0.5</f>
        <v>0.11758732357372376</v>
      </c>
      <c r="H136" s="34" t="s">
        <v>7</v>
      </c>
      <c r="I136" s="30"/>
      <c r="J136" s="65" t="s">
        <v>136</v>
      </c>
      <c r="K136" s="66"/>
      <c r="L136" s="66"/>
      <c r="M136" s="30"/>
      <c r="N136" s="30"/>
      <c r="O136" s="30"/>
      <c r="P136" s="30"/>
      <c r="Q136" s="30"/>
      <c r="R136" s="30"/>
      <c r="S136" s="30"/>
      <c r="T136" s="30"/>
    </row>
    <row r="137" spans="1:20" s="33" customFormat="1" ht="15.6">
      <c r="A137" s="30"/>
      <c r="B137" s="30"/>
      <c r="C137" s="30"/>
      <c r="D137" s="30"/>
      <c r="E137" s="30"/>
      <c r="F137" s="30"/>
      <c r="G137" s="30"/>
      <c r="H137" s="30"/>
      <c r="I137" s="30"/>
      <c r="J137" s="34" t="s">
        <v>140</v>
      </c>
      <c r="K137" s="34">
        <v>20000</v>
      </c>
      <c r="L137" s="35" t="s">
        <v>6</v>
      </c>
      <c r="M137" s="30"/>
      <c r="N137" s="30"/>
      <c r="O137" s="30"/>
      <c r="P137" s="30"/>
      <c r="Q137" s="30"/>
      <c r="R137" s="30"/>
      <c r="S137" s="30"/>
      <c r="T137" s="30"/>
    </row>
    <row r="138" spans="1:20" s="33" customFormat="1" ht="15.6">
      <c r="A138" s="30"/>
      <c r="B138" s="30"/>
      <c r="C138" s="30"/>
      <c r="D138" s="30"/>
      <c r="E138" s="30"/>
      <c r="F138" s="30"/>
      <c r="G138" s="30"/>
      <c r="H138" s="30"/>
      <c r="I138" s="30"/>
      <c r="J138" s="34" t="s">
        <v>122</v>
      </c>
      <c r="K138" s="34">
        <f>(RHOLD*39*10^-6+Vf.min.icc) / (VTOP.MAX-Vth.min.icc) * RICC.total</f>
        <v>8559.4391224204282</v>
      </c>
      <c r="L138" s="35" t="s">
        <v>6</v>
      </c>
      <c r="M138" s="30"/>
      <c r="N138" s="30"/>
      <c r="O138" s="30"/>
      <c r="P138" s="30"/>
      <c r="Q138" s="30"/>
      <c r="R138" s="30"/>
      <c r="S138" s="30"/>
      <c r="T138" s="30"/>
    </row>
    <row r="139" spans="1:20" s="33" customFormat="1" ht="15.6">
      <c r="A139" s="30"/>
      <c r="B139" s="30"/>
      <c r="C139" s="30"/>
      <c r="D139" s="30"/>
      <c r="E139" s="30"/>
      <c r="F139" s="30"/>
      <c r="G139" s="30"/>
      <c r="H139" s="30"/>
      <c r="I139" s="30"/>
      <c r="J139" s="34" t="s">
        <v>121</v>
      </c>
      <c r="K139" s="34">
        <f>RICC.total-RICC2</f>
        <v>11440.560877579572</v>
      </c>
      <c r="L139" s="35" t="s">
        <v>6</v>
      </c>
      <c r="M139" s="30"/>
      <c r="N139" s="30"/>
      <c r="O139" s="30"/>
      <c r="P139" s="30"/>
      <c r="Q139" s="30"/>
      <c r="R139" s="30"/>
      <c r="S139" s="30"/>
      <c r="T139" s="30"/>
    </row>
    <row r="140" spans="1:20" s="33" customFormat="1">
      <c r="A140" s="30"/>
      <c r="B140" s="30"/>
      <c r="C140" s="30"/>
      <c r="D140" s="30"/>
      <c r="E140" s="30"/>
      <c r="F140" s="30"/>
      <c r="G140" s="30"/>
      <c r="H140" s="30"/>
      <c r="I140" s="30"/>
      <c r="J140" s="34" t="s">
        <v>155</v>
      </c>
      <c r="K140" s="34">
        <f>(RHOLD*Iin.meanVin.maxPA/Iin.min*41*10^-6 + Vf.max.icc) * RICC.total / RICC2 + Vth.max.icc</f>
        <v>5.1437536344786805</v>
      </c>
      <c r="L140" s="34" t="s">
        <v>4</v>
      </c>
      <c r="M140" s="30"/>
      <c r="N140" s="30"/>
      <c r="O140" s="30"/>
      <c r="P140" s="30"/>
      <c r="Q140" s="30"/>
      <c r="R140" s="30"/>
      <c r="S140" s="30"/>
      <c r="T140" s="30"/>
    </row>
    <row r="141" spans="1:20" s="33" customFormat="1">
      <c r="A141" s="30"/>
      <c r="B141" s="30"/>
      <c r="C141" s="30"/>
      <c r="D141" s="30"/>
      <c r="E141" s="30"/>
      <c r="F141" s="30"/>
      <c r="G141" s="30"/>
      <c r="H141" s="30"/>
      <c r="I141" s="30"/>
      <c r="J141" s="34" t="s">
        <v>156</v>
      </c>
      <c r="K141" s="34">
        <f>(RHOLD*Iin.meanVin.180PA/Iin.min*41*10^-6 + Vf.max.icc) * RICC.total / RICC2 + Vth.max.icc</f>
        <v>4.701928708348464</v>
      </c>
      <c r="L141" s="34" t="s">
        <v>4</v>
      </c>
      <c r="M141" s="30"/>
      <c r="N141" s="30"/>
      <c r="O141" s="30"/>
      <c r="P141" s="30"/>
      <c r="Q141" s="30"/>
      <c r="R141" s="30"/>
      <c r="S141" s="30"/>
      <c r="T141" s="30"/>
    </row>
    <row r="142" spans="1:20" s="33" customFormat="1">
      <c r="A142" s="30"/>
      <c r="B142" s="30"/>
      <c r="C142" s="30"/>
      <c r="D142" s="30"/>
      <c r="E142" s="30"/>
      <c r="F142" s="30"/>
      <c r="G142" s="30"/>
      <c r="H142" s="30"/>
      <c r="I142" s="30"/>
      <c r="J142" s="34" t="s">
        <v>163</v>
      </c>
      <c r="K142" s="34">
        <f>RHOLD*Iin.meanVin.maxPA/Iin.min*41*10^-6</f>
        <v>1.0586904767387597</v>
      </c>
      <c r="L142" s="34" t="s">
        <v>4</v>
      </c>
      <c r="M142" s="30"/>
      <c r="N142" s="30"/>
      <c r="O142" s="30"/>
      <c r="P142" s="30"/>
      <c r="Q142" s="30"/>
      <c r="R142" s="30"/>
      <c r="S142" s="30"/>
      <c r="T142" s="30"/>
    </row>
    <row r="143" spans="1:20" s="33" customFormat="1">
      <c r="A143" s="30"/>
      <c r="B143" s="30"/>
      <c r="C143" s="30"/>
      <c r="D143" s="30"/>
      <c r="E143" s="30"/>
      <c r="F143" s="30"/>
      <c r="G143" s="30"/>
      <c r="H143" s="30"/>
      <c r="I143" s="30"/>
      <c r="J143" s="34" t="s">
        <v>164</v>
      </c>
      <c r="K143" s="34">
        <f>(4.9-Vth.max.icc)*RICC2/RICC.total - Vf.max.icc</f>
        <v>0.95437075697931073</v>
      </c>
      <c r="L143" s="34" t="s">
        <v>4</v>
      </c>
      <c r="M143" s="30"/>
      <c r="N143" s="30"/>
      <c r="O143" s="30"/>
      <c r="P143" s="30"/>
      <c r="Q143" s="30"/>
      <c r="R143" s="30"/>
      <c r="S143" s="30"/>
      <c r="T143" s="30"/>
    </row>
    <row r="144" spans="1:20" s="33" customFormat="1">
      <c r="A144" s="30"/>
      <c r="B144" s="30"/>
      <c r="C144" s="30"/>
      <c r="D144" s="30"/>
      <c r="E144" s="30"/>
      <c r="F144" s="30"/>
      <c r="G144" s="30"/>
      <c r="H144" s="30"/>
      <c r="I144" s="30"/>
      <c r="J144" s="34" t="s">
        <v>139</v>
      </c>
      <c r="K144" s="34">
        <f>(K143-K142)/K142*100</f>
        <v>-9.8536561961717446</v>
      </c>
      <c r="L144" s="34" t="s">
        <v>47</v>
      </c>
      <c r="M144" s="30"/>
      <c r="N144" s="30"/>
      <c r="O144" s="30"/>
      <c r="P144" s="30"/>
      <c r="Q144" s="30"/>
      <c r="R144" s="30"/>
      <c r="S144" s="30"/>
      <c r="T144" s="30"/>
    </row>
    <row r="145" spans="1:20" s="33" customFormat="1">
      <c r="A145" s="30"/>
      <c r="B145" s="30"/>
      <c r="C145" s="30"/>
      <c r="D145" s="30"/>
      <c r="E145" s="30"/>
      <c r="F145" s="30"/>
      <c r="G145" s="30"/>
      <c r="H145" s="30"/>
      <c r="I145" s="30"/>
      <c r="J145" s="65" t="s">
        <v>141</v>
      </c>
      <c r="K145" s="65"/>
      <c r="L145" s="65"/>
      <c r="M145" s="30"/>
      <c r="N145" s="30"/>
      <c r="O145" s="30"/>
      <c r="P145" s="30"/>
      <c r="Q145" s="30"/>
      <c r="R145" s="30"/>
      <c r="S145" s="30"/>
      <c r="T145" s="30"/>
    </row>
    <row r="146" spans="1:20" s="33" customFormat="1" ht="15.6">
      <c r="A146" s="30"/>
      <c r="B146" s="30"/>
      <c r="C146" s="30"/>
      <c r="D146" s="30"/>
      <c r="E146" s="30"/>
      <c r="F146" s="30"/>
      <c r="G146" s="30"/>
      <c r="H146" s="30"/>
      <c r="I146" s="30"/>
      <c r="J146" s="34" t="s">
        <v>166</v>
      </c>
      <c r="K146" s="34">
        <f>Pin/(peak_Vin_max*2/PI())</f>
        <v>4.2765718121310477E-2</v>
      </c>
      <c r="L146" s="35" t="s">
        <v>7</v>
      </c>
      <c r="M146" s="30"/>
      <c r="N146" s="30"/>
      <c r="O146" s="30"/>
      <c r="P146" s="30"/>
      <c r="Q146" s="30"/>
      <c r="R146" s="30"/>
      <c r="S146" s="30"/>
      <c r="T146" s="30"/>
    </row>
    <row r="147" spans="1:20" s="33" customFormat="1">
      <c r="A147" s="30"/>
      <c r="B147" s="30"/>
      <c r="C147" s="30"/>
      <c r="D147" s="30"/>
      <c r="E147" s="30"/>
      <c r="F147" s="30"/>
      <c r="G147" s="30"/>
      <c r="H147" s="30"/>
      <c r="I147" s="30"/>
      <c r="J147" s="34" t="s">
        <v>167</v>
      </c>
      <c r="K147" s="34">
        <f>(RHOLD*39*10^-6*Iin.maxVin.180PA.woOTC/Iin.min + Vf.min.icc) * RICC.total / RICC2 + Vth.min.icc</f>
        <v>3.2448014925355659</v>
      </c>
      <c r="L147" s="34" t="s">
        <v>4</v>
      </c>
      <c r="M147" s="30"/>
      <c r="N147" s="30"/>
      <c r="O147" s="30"/>
      <c r="P147" s="30"/>
      <c r="Q147" s="30"/>
      <c r="R147" s="30"/>
      <c r="S147" s="30"/>
      <c r="T147" s="30"/>
    </row>
    <row r="148" spans="1:20" s="33" customFormat="1">
      <c r="A148" s="30"/>
      <c r="B148" s="30"/>
      <c r="C148" s="30"/>
      <c r="D148" s="30"/>
      <c r="E148" s="30"/>
      <c r="F148" s="30"/>
      <c r="G148" s="30"/>
      <c r="H148" s="30"/>
      <c r="I148" s="30"/>
      <c r="J148" s="34" t="s">
        <v>172</v>
      </c>
      <c r="K148" s="34" t="e">
        <f>ACOS(1 - Pin*PI()/Iin.min/peak_Vin_max) / (2*PI()*Line_freq)</f>
        <v>#NUM!</v>
      </c>
      <c r="L148" s="34" t="s">
        <v>142</v>
      </c>
      <c r="M148" s="30"/>
      <c r="N148" s="30"/>
      <c r="O148" s="30"/>
      <c r="P148" s="30"/>
      <c r="Q148" s="30"/>
      <c r="R148" s="30"/>
      <c r="S148" s="30"/>
      <c r="T148" s="30"/>
    </row>
    <row r="149" spans="1:20" s="33" customFormat="1">
      <c r="A149" s="30"/>
      <c r="B149" s="30"/>
      <c r="C149" s="30"/>
      <c r="D149" s="30"/>
      <c r="E149" s="30"/>
      <c r="F149" s="30"/>
      <c r="G149" s="30"/>
      <c r="H149" s="30"/>
      <c r="I149" s="30"/>
      <c r="J149" s="34" t="s">
        <v>146</v>
      </c>
      <c r="K149" s="34" t="e">
        <f>14.2*10^-6*RTOP - (14.2*10^-6*RTOP - 1)*EXP(-K148/(RTOP*Ctop))</f>
        <v>#NUM!</v>
      </c>
      <c r="L149" s="34" t="s">
        <v>4</v>
      </c>
      <c r="M149" s="30"/>
      <c r="N149" s="30"/>
      <c r="O149" s="30"/>
      <c r="P149" s="30"/>
      <c r="Q149" s="30"/>
      <c r="R149" s="30"/>
      <c r="S149" s="30"/>
      <c r="T149" s="30"/>
    </row>
    <row r="150" spans="1:20" s="33" customFormat="1">
      <c r="A150" s="30"/>
      <c r="B150" s="30"/>
      <c r="C150" s="30"/>
      <c r="D150" s="30"/>
      <c r="E150" s="30"/>
      <c r="F150" s="30"/>
      <c r="G150" s="30"/>
      <c r="H150" s="30"/>
      <c r="I150" s="30"/>
      <c r="J150" s="34" t="s">
        <v>147</v>
      </c>
      <c r="K150" s="34">
        <f>IF(Iin.maxVin.180PA.woOTC&gt;Iin.min,K147,K149)</f>
        <v>3.2448014925355659</v>
      </c>
      <c r="L150" s="34" t="s">
        <v>4</v>
      </c>
      <c r="M150" s="30"/>
      <c r="N150" s="30"/>
      <c r="O150" s="30"/>
      <c r="P150" s="30"/>
      <c r="Q150" s="30"/>
      <c r="R150" s="30"/>
      <c r="S150" s="30"/>
      <c r="T150" s="30"/>
    </row>
    <row r="151" spans="1:20" s="33" customFormat="1">
      <c r="A151" s="30"/>
      <c r="B151" s="30"/>
      <c r="C151" s="30"/>
      <c r="D151" s="30"/>
      <c r="E151" s="30"/>
      <c r="F151" s="30"/>
      <c r="G151" s="30"/>
      <c r="H151" s="30"/>
      <c r="I151" s="30"/>
      <c r="J151" s="65" t="s">
        <v>16</v>
      </c>
      <c r="K151" s="65"/>
      <c r="L151" s="65"/>
      <c r="M151" s="30"/>
      <c r="N151" s="30"/>
      <c r="O151" s="30"/>
      <c r="P151" s="30"/>
      <c r="Q151" s="30"/>
      <c r="R151" s="30"/>
      <c r="S151" s="30"/>
      <c r="T151" s="30"/>
    </row>
    <row r="152" spans="1:20" s="33" customFormat="1" ht="15.6">
      <c r="A152" s="30"/>
      <c r="B152" s="30"/>
      <c r="C152" s="30"/>
      <c r="D152" s="30"/>
      <c r="E152" s="30"/>
      <c r="F152" s="30"/>
      <c r="G152" s="30"/>
      <c r="H152" s="30"/>
      <c r="I152" s="30"/>
      <c r="J152" s="34" t="s">
        <v>94</v>
      </c>
      <c r="K152" s="34">
        <f>3.3/( (40*10^-6) * Max_PA/180 )</f>
        <v>114230.76923076923</v>
      </c>
      <c r="L152" s="35" t="s">
        <v>6</v>
      </c>
      <c r="M152" s="30"/>
      <c r="N152" s="30"/>
      <c r="O152" s="30"/>
      <c r="P152" s="30"/>
      <c r="Q152" s="30"/>
      <c r="R152" s="30"/>
      <c r="S152" s="30"/>
      <c r="T152" s="30"/>
    </row>
    <row r="153" spans="1:20" s="33" customFormat="1" ht="15.6">
      <c r="A153" s="30"/>
      <c r="B153" s="30"/>
      <c r="C153" s="30"/>
      <c r="D153" s="30"/>
      <c r="E153" s="30"/>
      <c r="F153" s="30"/>
      <c r="G153" s="30"/>
      <c r="H153" s="30"/>
      <c r="I153" s="30"/>
      <c r="J153" s="34" t="s">
        <v>148</v>
      </c>
      <c r="K153" s="34">
        <f>IF(K150/3.2&lt;1,K150/3.2*0.88,1)</f>
        <v>1</v>
      </c>
      <c r="L153" s="35"/>
      <c r="M153" s="30"/>
      <c r="N153" s="30"/>
      <c r="O153" s="30"/>
      <c r="P153" s="30"/>
      <c r="Q153" s="30"/>
      <c r="R153" s="30"/>
      <c r="S153" s="30"/>
      <c r="T153" s="30"/>
    </row>
    <row r="154" spans="1:20" s="33" customFormat="1" ht="15.6">
      <c r="A154" s="30"/>
      <c r="B154" s="30"/>
      <c r="C154" s="30"/>
      <c r="D154" s="30"/>
      <c r="E154" s="30"/>
      <c r="F154" s="30"/>
      <c r="G154" s="30"/>
      <c r="H154" s="30"/>
      <c r="I154" s="30"/>
      <c r="J154" s="34" t="s">
        <v>149</v>
      </c>
      <c r="K154" s="34">
        <f>Rdim.total-Rdim2</f>
        <v>0</v>
      </c>
      <c r="L154" s="35" t="s">
        <v>6</v>
      </c>
      <c r="M154" s="30"/>
      <c r="N154" s="30"/>
      <c r="O154" s="30"/>
      <c r="P154" s="30"/>
      <c r="Q154" s="30"/>
      <c r="R154" s="30"/>
      <c r="S154" s="30"/>
      <c r="T154" s="30"/>
    </row>
    <row r="155" spans="1:20" s="33" customFormat="1" ht="15.6">
      <c r="A155" s="30"/>
      <c r="B155" s="30"/>
      <c r="C155" s="30"/>
      <c r="D155" s="30"/>
      <c r="E155" s="30"/>
      <c r="F155" s="30"/>
      <c r="G155" s="30"/>
      <c r="H155" s="30"/>
      <c r="I155" s="30"/>
      <c r="J155" s="34" t="s">
        <v>150</v>
      </c>
      <c r="K155" s="34">
        <f>Rdim.total*K153</f>
        <v>114230.76923076923</v>
      </c>
      <c r="L155" s="35" t="s">
        <v>6</v>
      </c>
      <c r="M155" s="30"/>
      <c r="N155" s="30"/>
      <c r="O155" s="30"/>
      <c r="P155" s="30"/>
      <c r="Q155" s="30"/>
      <c r="R155" s="30"/>
      <c r="S155" s="30"/>
      <c r="T155" s="30"/>
    </row>
    <row r="156" spans="1:20" s="33" customFormat="1">
      <c r="A156" s="30"/>
      <c r="B156" s="30"/>
      <c r="C156" s="30"/>
      <c r="D156" s="30"/>
      <c r="E156" s="30"/>
      <c r="F156" s="30"/>
      <c r="G156" s="30"/>
      <c r="H156" s="30"/>
      <c r="I156" s="30"/>
      <c r="J156" s="34" t="s">
        <v>18</v>
      </c>
      <c r="K156" s="34">
        <f>50*0.001/Rdim.total</f>
        <v>4.3771043771043773E-7</v>
      </c>
      <c r="L156" s="34" t="s">
        <v>12</v>
      </c>
      <c r="M156" s="30"/>
      <c r="N156" s="30"/>
      <c r="O156" s="30"/>
      <c r="P156" s="30"/>
      <c r="Q156" s="30"/>
      <c r="R156" s="30"/>
      <c r="S156" s="30"/>
      <c r="T156" s="30"/>
    </row>
    <row r="157" spans="1:20" s="33" customFormat="1">
      <c r="A157" s="30"/>
      <c r="B157" s="30"/>
      <c r="C157" s="30"/>
      <c r="D157" s="30"/>
      <c r="E157" s="30"/>
      <c r="F157" s="30"/>
      <c r="G157" s="30"/>
      <c r="H157" s="30"/>
      <c r="I157" s="30"/>
      <c r="J157" s="65" t="s">
        <v>151</v>
      </c>
      <c r="K157" s="65"/>
      <c r="L157" s="65"/>
      <c r="M157" s="30"/>
      <c r="N157" s="30"/>
      <c r="O157" s="30"/>
      <c r="P157" s="30"/>
      <c r="Q157" s="30"/>
      <c r="R157" s="30"/>
      <c r="S157" s="30"/>
      <c r="T157" s="30"/>
    </row>
    <row r="158" spans="1:20" s="33" customFormat="1" ht="15.6">
      <c r="A158" s="30"/>
      <c r="B158" s="30"/>
      <c r="C158" s="30"/>
      <c r="D158" s="30"/>
      <c r="E158" s="30"/>
      <c r="F158" s="30"/>
      <c r="G158" s="30"/>
      <c r="H158" s="30"/>
      <c r="I158" s="30"/>
      <c r="J158" s="34" t="s">
        <v>219</v>
      </c>
      <c r="K158" s="34">
        <f>2.25*180/(40*10^-6*Rdim.total)</f>
        <v>88.63636363636364</v>
      </c>
      <c r="L158" s="35" t="s">
        <v>75</v>
      </c>
      <c r="M158" s="30"/>
      <c r="N158" s="30"/>
      <c r="O158" s="30"/>
      <c r="P158" s="30"/>
      <c r="Q158" s="30"/>
      <c r="R158" s="30"/>
      <c r="S158" s="30"/>
      <c r="T158" s="30"/>
    </row>
    <row r="159" spans="1:20" s="33" customFormat="1" ht="15.6">
      <c r="A159" s="30"/>
      <c r="B159" s="30"/>
      <c r="C159" s="30"/>
      <c r="D159" s="30"/>
      <c r="E159" s="30"/>
      <c r="F159" s="30"/>
      <c r="G159" s="30"/>
      <c r="H159" s="30"/>
      <c r="I159" s="30"/>
      <c r="J159" s="34" t="s">
        <v>220</v>
      </c>
      <c r="K159" s="34">
        <f>K158/180*T.HLINE</f>
        <v>4.9242424242424247E-3</v>
      </c>
      <c r="L159" s="35" t="s">
        <v>15</v>
      </c>
      <c r="M159" s="30"/>
      <c r="N159" s="30"/>
      <c r="O159" s="30"/>
      <c r="P159" s="30"/>
      <c r="Q159" s="30"/>
      <c r="R159" s="30"/>
      <c r="S159" s="30"/>
      <c r="T159" s="30"/>
    </row>
    <row r="160" spans="1:20" s="33" customFormat="1" ht="15.6">
      <c r="A160" s="30"/>
      <c r="B160" s="30"/>
      <c r="C160" s="30"/>
      <c r="D160" s="30"/>
      <c r="E160" s="30"/>
      <c r="F160" s="30"/>
      <c r="G160" s="30"/>
      <c r="H160" s="30"/>
      <c r="I160" s="30"/>
      <c r="J160" s="34" t="s">
        <v>221</v>
      </c>
      <c r="K160" s="34">
        <f>2.25*K159/(Rdim.total*K156)</f>
        <v>0.22159090909090912</v>
      </c>
      <c r="L160" s="35" t="s">
        <v>4</v>
      </c>
      <c r="M160" s="30"/>
      <c r="N160" s="30"/>
      <c r="O160" s="30"/>
      <c r="P160" s="30"/>
      <c r="Q160" s="30"/>
      <c r="R160" s="30"/>
      <c r="S160" s="30"/>
      <c r="T160" s="30"/>
    </row>
    <row r="161" spans="1:20" s="33" customFormat="1" ht="15.6">
      <c r="A161" s="30"/>
      <c r="B161" s="30"/>
      <c r="C161" s="30"/>
      <c r="D161" s="30"/>
      <c r="E161" s="30"/>
      <c r="F161" s="30"/>
      <c r="G161" s="30"/>
      <c r="H161" s="30"/>
      <c r="I161" s="30"/>
      <c r="J161" s="34" t="s">
        <v>222</v>
      </c>
      <c r="K161" s="34">
        <f>2.25+K160/2</f>
        <v>2.3607954545454546</v>
      </c>
      <c r="L161" s="35" t="s">
        <v>4</v>
      </c>
      <c r="M161" s="30"/>
      <c r="Q161" s="30"/>
      <c r="R161" s="30"/>
      <c r="S161" s="30"/>
      <c r="T161" s="30"/>
    </row>
    <row r="162" spans="1:20" s="33" customFormat="1" ht="15.6">
      <c r="A162" s="30"/>
      <c r="B162" s="30"/>
      <c r="C162" s="30"/>
      <c r="D162" s="30"/>
      <c r="E162" s="30"/>
      <c r="F162" s="30"/>
      <c r="G162" s="30"/>
      <c r="H162" s="30"/>
      <c r="I162" s="30"/>
      <c r="J162" s="34" t="s">
        <v>223</v>
      </c>
      <c r="K162" s="34">
        <f>K161*K153</f>
        <v>2.3607954545454546</v>
      </c>
      <c r="L162" s="35" t="s">
        <v>4</v>
      </c>
      <c r="M162" s="30"/>
      <c r="Q162" s="30"/>
      <c r="R162" s="30"/>
      <c r="S162" s="30"/>
      <c r="T162" s="30"/>
    </row>
    <row r="163" spans="1:20" s="33" customFormat="1" ht="15.6">
      <c r="A163" s="30"/>
      <c r="B163" s="30"/>
      <c r="C163" s="30"/>
      <c r="D163" s="30"/>
      <c r="E163" s="30"/>
      <c r="F163" s="30"/>
      <c r="G163" s="30"/>
      <c r="H163" s="30"/>
      <c r="I163" s="30"/>
      <c r="J163" s="34" t="s">
        <v>152</v>
      </c>
      <c r="K163" s="34">
        <f>15.75*10^-6*RTOP - (15.75*10^-6*RTOP - 1)*EXP(-2.05*10^-3/(RTOP*Ctop))</f>
        <v>1.7202456147418093</v>
      </c>
      <c r="L163" s="35" t="s">
        <v>4</v>
      </c>
      <c r="M163" s="30"/>
      <c r="Q163" s="30"/>
      <c r="R163" s="30"/>
      <c r="S163" s="30"/>
      <c r="T163" s="30"/>
    </row>
    <row r="164" spans="1:20" s="33" customFormat="1">
      <c r="A164" s="30"/>
      <c r="B164" s="30"/>
      <c r="C164" s="30"/>
      <c r="D164" s="30"/>
      <c r="E164" s="30"/>
      <c r="F164" s="30"/>
      <c r="G164" s="30"/>
      <c r="H164" s="30"/>
      <c r="I164" s="30"/>
      <c r="J164" s="30"/>
      <c r="K164" s="30"/>
      <c r="L164" s="30"/>
      <c r="M164" s="30"/>
      <c r="Q164" s="30"/>
      <c r="R164" s="30"/>
      <c r="S164" s="30"/>
      <c r="T164" s="30"/>
    </row>
    <row r="165" spans="1:20" s="33" customFormat="1">
      <c r="A165" s="30"/>
      <c r="B165" s="30"/>
      <c r="C165" s="30"/>
      <c r="D165" s="30"/>
      <c r="E165" s="30"/>
      <c r="F165" s="30"/>
      <c r="G165" s="30"/>
      <c r="H165" s="30"/>
      <c r="I165" s="30"/>
      <c r="J165" s="30"/>
      <c r="K165" s="30"/>
      <c r="L165" s="30"/>
      <c r="M165" s="30"/>
      <c r="Q165" s="30"/>
      <c r="R165" s="30"/>
      <c r="S165" s="30"/>
      <c r="T165" s="30"/>
    </row>
    <row r="166" spans="1:20" s="33" customFormat="1"/>
    <row r="167" spans="1:20" s="33" customFormat="1"/>
    <row r="168" spans="1:20" s="33" customFormat="1"/>
    <row r="169" spans="1:20" s="33" customFormat="1"/>
    <row r="170" spans="1:20" s="33" customFormat="1"/>
    <row r="171" spans="1:20" s="33" customFormat="1"/>
    <row r="172" spans="1:20" s="33" customFormat="1"/>
    <row r="173" spans="1:20" s="33" customFormat="1"/>
    <row r="174" spans="1:20" s="33" customFormat="1"/>
    <row r="175" spans="1:20" s="33" customFormat="1"/>
    <row r="176" spans="1:20"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sheetData>
  <sheetProtection password="E642" sheet="1" objects="1" scenarios="1" selectLockedCells="1"/>
  <mergeCells count="42">
    <mergeCell ref="N125:P125"/>
    <mergeCell ref="B21:D24"/>
    <mergeCell ref="B109:D109"/>
    <mergeCell ref="B100:D100"/>
    <mergeCell ref="B42:D42"/>
    <mergeCell ref="B43:D43"/>
    <mergeCell ref="B36:D36"/>
    <mergeCell ref="B26:D26"/>
    <mergeCell ref="N122:P122"/>
    <mergeCell ref="F113:H113"/>
    <mergeCell ref="F111:H111"/>
    <mergeCell ref="F118:H118"/>
    <mergeCell ref="R100:T100"/>
    <mergeCell ref="F100:H100"/>
    <mergeCell ref="N42:P42"/>
    <mergeCell ref="F106:H106"/>
    <mergeCell ref="F109:H109"/>
    <mergeCell ref="F46:H46"/>
    <mergeCell ref="N106:P106"/>
    <mergeCell ref="F135:H135"/>
    <mergeCell ref="F130:H130"/>
    <mergeCell ref="F120:H120"/>
    <mergeCell ref="R26:T26"/>
    <mergeCell ref="J124:L124"/>
    <mergeCell ref="J130:L130"/>
    <mergeCell ref="J36:L36"/>
    <mergeCell ref="J39:L39"/>
    <mergeCell ref="J26:L26"/>
    <mergeCell ref="N100:P100"/>
    <mergeCell ref="F26:H26"/>
    <mergeCell ref="N26:P26"/>
    <mergeCell ref="N30:P30"/>
    <mergeCell ref="N117:P117"/>
    <mergeCell ref="J47:L47"/>
    <mergeCell ref="F40:H40"/>
    <mergeCell ref="J157:L157"/>
    <mergeCell ref="J100:L100"/>
    <mergeCell ref="J117:L117"/>
    <mergeCell ref="J145:L145"/>
    <mergeCell ref="J151:L151"/>
    <mergeCell ref="J136:L136"/>
    <mergeCell ref="J114:L114"/>
  </mergeCells>
  <phoneticPr fontId="1" type="noConversion"/>
  <pageMargins left="0.7" right="0.7" top="0.75" bottom="0.75" header="0.3" footer="0.3"/>
  <pageSetup paperSize="9" orientation="portrait" r:id="rId1"/>
  <legacyDrawing r:id="rId2"/>
  <oleObjects>
    <oleObject progId="Visio.Drawing.11" shapeId="1122" r:id="rId3"/>
    <oleObject progId="Visio.Drawing.11" shapeId="1138" r:id="rId4"/>
    <oleObject progId="Visio.Drawing.11" shapeId="1169" r:id="rId5"/>
  </oleObjects>
</worksheet>
</file>

<file path=xl/worksheets/sheet3.xml><?xml version="1.0" encoding="utf-8"?>
<worksheet xmlns="http://schemas.openxmlformats.org/spreadsheetml/2006/main" xmlns:r="http://schemas.openxmlformats.org/officeDocument/2006/relationships">
  <dimension ref="A15:V219"/>
  <sheetViews>
    <sheetView zoomScale="70" zoomScaleNormal="70" workbookViewId="0">
      <selection activeCell="C27" sqref="C27"/>
    </sheetView>
  </sheetViews>
  <sheetFormatPr defaultColWidth="9" defaultRowHeight="14.4"/>
  <cols>
    <col min="1" max="1" width="9" style="7"/>
    <col min="2" max="2" width="20.33203125" style="7" customWidth="1"/>
    <col min="3" max="3" width="11.44140625" style="7" bestFit="1" customWidth="1"/>
    <col min="4" max="4" width="9" style="7"/>
    <col min="5" max="5" width="8.33203125" style="7" customWidth="1"/>
    <col min="6" max="6" width="20.6640625" style="7" customWidth="1"/>
    <col min="7" max="7" width="11.21875" style="7" customWidth="1"/>
    <col min="8" max="8" width="9" style="7"/>
    <col min="9" max="9" width="9.44140625" style="7" customWidth="1"/>
    <col min="10" max="10" width="20.21875" style="7" bestFit="1" customWidth="1"/>
    <col min="11" max="11" width="12.33203125" style="7" customWidth="1"/>
    <col min="12" max="13" width="9" style="7"/>
    <col min="14" max="14" width="20.77734375" style="7" customWidth="1"/>
    <col min="15" max="15" width="11.33203125" style="7" customWidth="1"/>
    <col min="16" max="17" width="9" style="7"/>
    <col min="18" max="18" width="9.21875" style="7" customWidth="1"/>
    <col min="19" max="19" width="9.88671875" style="7" customWidth="1"/>
    <col min="20" max="20" width="9.77734375" style="7" customWidth="1"/>
    <col min="21" max="22" width="9.109375" style="7" customWidth="1"/>
    <col min="23" max="23" width="9" style="7" customWidth="1"/>
    <col min="24" max="25" width="9.21875" style="7" customWidth="1"/>
    <col min="26" max="16384" width="9" style="7"/>
  </cols>
  <sheetData>
    <row r="15" ht="17.25" customHeight="1"/>
    <row r="16" ht="17.25" customHeight="1"/>
    <row r="17" spans="2:16" ht="17.25" customHeight="1"/>
    <row r="18" spans="2:16" ht="16.5" customHeight="1"/>
    <row r="19" spans="2:16" ht="16.5" customHeight="1"/>
    <row r="20" spans="2:16" ht="16.5" customHeight="1"/>
    <row r="21" spans="2:16">
      <c r="B21" s="68" t="s">
        <v>274</v>
      </c>
      <c r="C21" s="69"/>
      <c r="D21" s="70"/>
    </row>
    <row r="22" spans="2:16">
      <c r="B22" s="71"/>
      <c r="C22" s="72"/>
      <c r="D22" s="73"/>
    </row>
    <row r="23" spans="2:16">
      <c r="B23" s="71"/>
      <c r="C23" s="72"/>
      <c r="D23" s="73"/>
    </row>
    <row r="24" spans="2:16">
      <c r="B24" s="74"/>
      <c r="C24" s="75"/>
      <c r="D24" s="76"/>
    </row>
    <row r="26" spans="2:16" ht="15.6">
      <c r="B26" s="67" t="s">
        <v>254</v>
      </c>
      <c r="C26" s="67"/>
      <c r="D26" s="67"/>
      <c r="E26" s="14"/>
      <c r="F26" s="67" t="s">
        <v>43</v>
      </c>
      <c r="G26" s="67"/>
      <c r="H26" s="67"/>
      <c r="J26" s="67" t="s">
        <v>76</v>
      </c>
      <c r="K26" s="67"/>
      <c r="L26" s="67"/>
      <c r="N26" s="67" t="s">
        <v>44</v>
      </c>
      <c r="O26" s="67"/>
      <c r="P26" s="67"/>
    </row>
    <row r="27" spans="2:16" ht="15.6">
      <c r="B27" s="2" t="s">
        <v>45</v>
      </c>
      <c r="C27" s="41">
        <v>207</v>
      </c>
      <c r="D27" s="2" t="s">
        <v>4</v>
      </c>
      <c r="E27" s="15"/>
      <c r="F27" s="2" t="s">
        <v>46</v>
      </c>
      <c r="G27" s="43">
        <v>13</v>
      </c>
      <c r="H27" s="2" t="s">
        <v>47</v>
      </c>
      <c r="J27" s="16" t="s">
        <v>267</v>
      </c>
      <c r="K27" s="18">
        <f>Ipk_max_final*RCS</f>
        <v>0.55592249367101698</v>
      </c>
      <c r="L27" s="17" t="s">
        <v>4</v>
      </c>
      <c r="N27" s="16" t="s">
        <v>304</v>
      </c>
      <c r="O27" s="5">
        <f>Rvin1*10^-6</f>
        <v>2</v>
      </c>
      <c r="P27" s="17" t="s">
        <v>48</v>
      </c>
    </row>
    <row r="28" spans="2:16" ht="15.6">
      <c r="B28" s="2" t="s">
        <v>49</v>
      </c>
      <c r="C28" s="41">
        <v>230</v>
      </c>
      <c r="D28" s="2" t="s">
        <v>4</v>
      </c>
      <c r="F28" s="2" t="s">
        <v>50</v>
      </c>
      <c r="G28" s="41">
        <v>60</v>
      </c>
      <c r="H28" s="2" t="s">
        <v>51</v>
      </c>
      <c r="J28" s="16" t="s">
        <v>77</v>
      </c>
      <c r="K28" s="20">
        <f>0.5/(KEAI*Rated_Iout)</f>
        <v>0.7246376811594204</v>
      </c>
      <c r="L28" s="17" t="s">
        <v>6</v>
      </c>
      <c r="N28" s="16" t="s">
        <v>52</v>
      </c>
      <c r="O28" s="3">
        <f>Rvin2*10^-3</f>
        <v>106.24596840501492</v>
      </c>
      <c r="P28" s="17" t="s">
        <v>53</v>
      </c>
    </row>
    <row r="29" spans="2:16" ht="15.6">
      <c r="B29" s="2" t="s">
        <v>54</v>
      </c>
      <c r="C29" s="41">
        <v>264</v>
      </c>
      <c r="D29" s="2" t="s">
        <v>4</v>
      </c>
      <c r="E29" s="15"/>
      <c r="F29" s="16" t="s">
        <v>55</v>
      </c>
      <c r="G29" s="19">
        <f>G107*10^6</f>
        <v>2.1666666666666665</v>
      </c>
      <c r="H29" s="17" t="s">
        <v>56</v>
      </c>
      <c r="J29" s="2" t="s">
        <v>225</v>
      </c>
      <c r="K29" s="41">
        <v>90</v>
      </c>
      <c r="L29" s="2" t="s">
        <v>224</v>
      </c>
      <c r="N29" s="16" t="s">
        <v>261</v>
      </c>
      <c r="O29" s="3">
        <v>100</v>
      </c>
      <c r="P29" s="17" t="s">
        <v>262</v>
      </c>
    </row>
    <row r="30" spans="2:16" ht="15.6">
      <c r="B30" s="2" t="s">
        <v>57</v>
      </c>
      <c r="C30" s="41">
        <v>50</v>
      </c>
      <c r="D30" s="2" t="s">
        <v>5</v>
      </c>
      <c r="F30" s="2" t="s">
        <v>29</v>
      </c>
      <c r="G30" s="41">
        <v>23.7</v>
      </c>
      <c r="H30" s="2" t="s">
        <v>58</v>
      </c>
      <c r="J30" s="16" t="s">
        <v>229</v>
      </c>
      <c r="K30" s="3">
        <f>IF(Vcs.pk.ini&gt;0.15,IF(Rcomp.total-Rcomp.int&gt;0,Rcomp.total-Rcomp.int,0),IF(Rcomp.total-Rcomp.int&gt;50,Rcomp.total-Rcomp.int,50))</f>
        <v>272.13097365340917</v>
      </c>
      <c r="L30" s="17" t="s">
        <v>6</v>
      </c>
      <c r="N30" s="67" t="s">
        <v>192</v>
      </c>
      <c r="O30" s="67"/>
      <c r="P30" s="67"/>
    </row>
    <row r="31" spans="2:16" ht="15">
      <c r="B31" s="2" t="s">
        <v>60</v>
      </c>
      <c r="C31" s="41">
        <v>35</v>
      </c>
      <c r="D31" s="2" t="s">
        <v>4</v>
      </c>
      <c r="E31" s="15"/>
      <c r="F31" s="2" t="s">
        <v>61</v>
      </c>
      <c r="G31" s="44">
        <v>0.3</v>
      </c>
      <c r="H31" s="2"/>
      <c r="J31" s="2" t="s">
        <v>78</v>
      </c>
      <c r="K31" s="43">
        <v>1</v>
      </c>
      <c r="L31" s="2" t="s">
        <v>79</v>
      </c>
      <c r="N31" s="2" t="s">
        <v>97</v>
      </c>
      <c r="O31" s="41">
        <v>125</v>
      </c>
      <c r="P31" s="2" t="s">
        <v>66</v>
      </c>
    </row>
    <row r="32" spans="2:16" ht="15.6">
      <c r="B32" s="2" t="s">
        <v>62</v>
      </c>
      <c r="C32" s="41">
        <v>40</v>
      </c>
      <c r="D32" s="2" t="s">
        <v>4</v>
      </c>
      <c r="E32" s="15"/>
      <c r="F32" s="16" t="s">
        <v>63</v>
      </c>
      <c r="G32" s="5">
        <f>G105*1000</f>
        <v>0.85489706249999986</v>
      </c>
      <c r="H32" s="17" t="s">
        <v>64</v>
      </c>
      <c r="J32" s="16" t="s">
        <v>81</v>
      </c>
      <c r="K32" s="3">
        <f>Rvs1_*0.001</f>
        <v>522.15730836572482</v>
      </c>
      <c r="L32" s="17" t="s">
        <v>53</v>
      </c>
      <c r="N32" s="49" t="s">
        <v>80</v>
      </c>
      <c r="O32" s="41">
        <v>47</v>
      </c>
      <c r="P32" s="2" t="s">
        <v>66</v>
      </c>
    </row>
    <row r="33" spans="1:17" ht="15.6">
      <c r="B33" s="2" t="s">
        <v>67</v>
      </c>
      <c r="C33" s="41">
        <v>42</v>
      </c>
      <c r="D33" s="2" t="s">
        <v>4</v>
      </c>
      <c r="E33" s="15"/>
      <c r="F33" s="16" t="s">
        <v>72</v>
      </c>
      <c r="G33" s="19">
        <f>Ipk_max_final*Lm/Ae/BMAX</f>
        <v>92.243878960266898</v>
      </c>
      <c r="H33" s="17" t="s">
        <v>73</v>
      </c>
      <c r="J33" s="16" t="s">
        <v>82</v>
      </c>
      <c r="K33" s="3">
        <f>Rvs2_*0.001</f>
        <v>67.365239682555</v>
      </c>
      <c r="L33" s="17" t="s">
        <v>53</v>
      </c>
      <c r="N33" s="2" t="s">
        <v>309</v>
      </c>
      <c r="O33" s="41">
        <v>1</v>
      </c>
      <c r="P33" s="2" t="s">
        <v>53</v>
      </c>
    </row>
    <row r="34" spans="1:17" ht="15.6">
      <c r="B34" s="2" t="s">
        <v>68</v>
      </c>
      <c r="C34" s="41">
        <v>150</v>
      </c>
      <c r="D34" s="2" t="s">
        <v>69</v>
      </c>
      <c r="F34" s="2" t="s">
        <v>173</v>
      </c>
      <c r="G34" s="41">
        <v>106</v>
      </c>
      <c r="H34" s="2" t="s">
        <v>73</v>
      </c>
      <c r="J34" s="2" t="s">
        <v>306</v>
      </c>
      <c r="K34" s="41">
        <v>10</v>
      </c>
      <c r="L34" s="2" t="s">
        <v>262</v>
      </c>
      <c r="N34" s="16" t="s">
        <v>194</v>
      </c>
      <c r="O34" s="3">
        <f>RRIVC</f>
        <v>62.978268999181296</v>
      </c>
      <c r="P34" s="17" t="s">
        <v>6</v>
      </c>
    </row>
    <row r="35" spans="1:17" ht="15.6">
      <c r="A35" s="21"/>
      <c r="B35" s="16" t="s">
        <v>70</v>
      </c>
      <c r="C35" s="5">
        <f>Rated_Iout*Rated_Vout</f>
        <v>6</v>
      </c>
      <c r="D35" s="16" t="s">
        <v>22</v>
      </c>
      <c r="F35" s="16" t="s">
        <v>177</v>
      </c>
      <c r="G35" s="19">
        <f>Np*Nap_i</f>
        <v>63.095238095238095</v>
      </c>
      <c r="H35" s="17" t="s">
        <v>73</v>
      </c>
      <c r="J35" s="67" t="s">
        <v>74</v>
      </c>
      <c r="K35" s="67"/>
      <c r="L35" s="67"/>
      <c r="M35" s="22"/>
      <c r="N35" s="16" t="s">
        <v>308</v>
      </c>
      <c r="O35" s="3">
        <f>5/RRIVC*1000</f>
        <v>79.392464725650029</v>
      </c>
      <c r="P35" s="17" t="s">
        <v>69</v>
      </c>
      <c r="Q35" s="22"/>
    </row>
    <row r="36" spans="1:17" ht="15.6">
      <c r="A36" s="21"/>
      <c r="B36" s="67" t="s">
        <v>71</v>
      </c>
      <c r="C36" s="67"/>
      <c r="D36" s="67"/>
      <c r="E36" s="15"/>
      <c r="F36" s="2" t="s">
        <v>178</v>
      </c>
      <c r="G36" s="41">
        <v>63</v>
      </c>
      <c r="H36" s="2" t="s">
        <v>73</v>
      </c>
      <c r="J36" s="16" t="s">
        <v>145</v>
      </c>
      <c r="K36" s="3">
        <f>RHOLD*0.001</f>
        <v>11.086956521739133</v>
      </c>
      <c r="L36" s="17" t="s">
        <v>53</v>
      </c>
      <c r="M36" s="22"/>
      <c r="N36" s="2" t="s">
        <v>195</v>
      </c>
      <c r="O36" s="41">
        <v>79</v>
      </c>
      <c r="P36" s="2" t="s">
        <v>69</v>
      </c>
      <c r="Q36" s="22"/>
    </row>
    <row r="37" spans="1:17" ht="15.6">
      <c r="A37" s="21"/>
      <c r="B37" s="2" t="s">
        <v>303</v>
      </c>
      <c r="C37" s="41">
        <v>130</v>
      </c>
      <c r="D37" s="4" t="s">
        <v>104</v>
      </c>
      <c r="E37" s="15"/>
      <c r="F37" s="67" t="s">
        <v>207</v>
      </c>
      <c r="G37" s="67"/>
      <c r="H37" s="67"/>
      <c r="J37" s="2" t="s">
        <v>184</v>
      </c>
      <c r="K37" s="43">
        <v>1</v>
      </c>
      <c r="L37" s="2" t="s">
        <v>66</v>
      </c>
      <c r="N37" s="16" t="s">
        <v>196</v>
      </c>
      <c r="O37" s="3">
        <f>RRIVC*Imax.ivc/40/10^-3</f>
        <v>124.38208127338305</v>
      </c>
      <c r="P37" s="17" t="s">
        <v>53</v>
      </c>
    </row>
    <row r="38" spans="1:17" ht="15.6">
      <c r="A38" s="21"/>
      <c r="B38" s="16" t="s">
        <v>252</v>
      </c>
      <c r="C38" s="3">
        <f>C110*1000</f>
        <v>30.696032537794494</v>
      </c>
      <c r="D38" s="1" t="s">
        <v>239</v>
      </c>
      <c r="E38" s="15"/>
      <c r="F38" s="1" t="s">
        <v>265</v>
      </c>
      <c r="G38" s="3">
        <f>peak_Vin_max+Max_Vout</f>
        <v>415.3523804664971</v>
      </c>
      <c r="H38" s="1" t="s">
        <v>4</v>
      </c>
      <c r="J38" s="67" t="s">
        <v>191</v>
      </c>
      <c r="K38" s="67"/>
      <c r="L38" s="67"/>
      <c r="N38" s="16" t="s">
        <v>197</v>
      </c>
      <c r="O38" s="3">
        <f>17/Imax.ivc-O34</f>
        <v>152.21160441854022</v>
      </c>
      <c r="P38" s="17" t="s">
        <v>6</v>
      </c>
    </row>
    <row r="39" spans="1:17" ht="15.6">
      <c r="A39" s="21"/>
      <c r="B39" s="2" t="s">
        <v>253</v>
      </c>
      <c r="C39" s="42">
        <v>30</v>
      </c>
      <c r="D39" s="2" t="s">
        <v>69</v>
      </c>
      <c r="F39" s="1" t="s">
        <v>266</v>
      </c>
      <c r="G39" s="5">
        <f>Ipk_max_final</f>
        <v>0.76717304126600339</v>
      </c>
      <c r="H39" s="1" t="s">
        <v>7</v>
      </c>
      <c r="J39" s="16" t="s">
        <v>185</v>
      </c>
      <c r="K39" s="3">
        <f>K120*10^-3</f>
        <v>333.33333333333343</v>
      </c>
      <c r="L39" s="17" t="s">
        <v>53</v>
      </c>
      <c r="N39" s="16" t="s">
        <v>263</v>
      </c>
      <c r="O39" s="3">
        <f>IF(Rated_Vin&gt;170, 100, 50)</f>
        <v>100</v>
      </c>
      <c r="P39" s="17" t="s">
        <v>6</v>
      </c>
    </row>
    <row r="40" spans="1:17" ht="15.6">
      <c r="A40" s="21"/>
      <c r="F40" s="1" t="s">
        <v>215</v>
      </c>
      <c r="G40" s="5">
        <f>Isw.rms</f>
        <v>9.8322925522137811E-2</v>
      </c>
      <c r="H40" s="1" t="s">
        <v>7</v>
      </c>
      <c r="J40" s="2" t="s">
        <v>186</v>
      </c>
      <c r="K40" s="42">
        <v>330</v>
      </c>
      <c r="L40" s="4" t="s">
        <v>53</v>
      </c>
      <c r="N40" s="2" t="s">
        <v>311</v>
      </c>
      <c r="O40" s="41">
        <v>68</v>
      </c>
      <c r="P40" s="2" t="s">
        <v>66</v>
      </c>
    </row>
    <row r="41" spans="1:17" ht="15.6">
      <c r="A41" s="21"/>
      <c r="E41" s="15"/>
      <c r="F41" s="1" t="s">
        <v>218</v>
      </c>
      <c r="G41" s="5">
        <f>Rated_Iout</f>
        <v>0.15</v>
      </c>
      <c r="H41" s="1" t="s">
        <v>7</v>
      </c>
      <c r="J41" s="16" t="s">
        <v>187</v>
      </c>
      <c r="K41" s="3">
        <v>33</v>
      </c>
      <c r="L41" s="17" t="s">
        <v>66</v>
      </c>
      <c r="N41" s="16" t="s">
        <v>310</v>
      </c>
      <c r="O41" s="3" t="str">
        <f>IF(Vcs.pk.ini&lt;0.15, IF( (O37*0.04)/(0.15-Vcs.pk.ini)*Rcomp*0.001 &gt; 100, 100, (O37*0.04)/(0.15-Vcs.pk.ini)*Rcomp*0.001 ), "open")</f>
        <v>open</v>
      </c>
      <c r="P41" s="17" t="s">
        <v>317</v>
      </c>
    </row>
    <row r="42" spans="1:17" ht="15.6">
      <c r="A42" s="23"/>
      <c r="B42" s="78" t="s">
        <v>257</v>
      </c>
      <c r="C42" s="78"/>
      <c r="D42" s="78"/>
      <c r="E42" s="15"/>
      <c r="F42" s="28"/>
      <c r="G42" s="28"/>
      <c r="H42" s="28"/>
      <c r="J42" s="16" t="s">
        <v>188</v>
      </c>
      <c r="K42" s="3" t="s">
        <v>123</v>
      </c>
      <c r="L42" s="17"/>
      <c r="N42" s="67" t="s">
        <v>193</v>
      </c>
      <c r="O42" s="67"/>
      <c r="P42" s="67"/>
    </row>
    <row r="43" spans="1:17" ht="15.6">
      <c r="A43" s="23"/>
      <c r="B43" s="79" t="s">
        <v>258</v>
      </c>
      <c r="C43" s="79"/>
      <c r="D43" s="79"/>
      <c r="E43" s="23"/>
      <c r="F43" s="28"/>
      <c r="G43" s="28"/>
      <c r="H43" s="28"/>
      <c r="J43" s="16" t="s">
        <v>189</v>
      </c>
      <c r="K43" s="3" t="s">
        <v>124</v>
      </c>
      <c r="L43" s="17"/>
      <c r="N43" s="16" t="s">
        <v>198</v>
      </c>
      <c r="O43" s="5">
        <f>O27</f>
        <v>2</v>
      </c>
      <c r="P43" s="17" t="s">
        <v>48</v>
      </c>
    </row>
    <row r="44" spans="1:17" ht="15.6">
      <c r="A44" s="23"/>
      <c r="F44" s="28"/>
      <c r="G44" s="28"/>
      <c r="H44" s="28"/>
      <c r="J44" s="16" t="s">
        <v>190</v>
      </c>
      <c r="K44" s="19">
        <f>RICC1*0.001</f>
        <v>13.995420428838621</v>
      </c>
      <c r="L44" s="17" t="s">
        <v>53</v>
      </c>
      <c r="M44" s="24"/>
      <c r="N44" s="16" t="s">
        <v>199</v>
      </c>
      <c r="O44" s="3">
        <v>1</v>
      </c>
      <c r="P44" s="17" t="s">
        <v>53</v>
      </c>
      <c r="Q44" s="24"/>
    </row>
    <row r="45" spans="1:17" ht="15.6">
      <c r="A45" s="23"/>
      <c r="F45" s="28"/>
      <c r="G45" s="28"/>
      <c r="H45" s="28"/>
      <c r="J45" s="16" t="s">
        <v>260</v>
      </c>
      <c r="K45" s="19">
        <f>RICC2*0.001</f>
        <v>6.0045795711613792</v>
      </c>
      <c r="L45" s="17" t="s">
        <v>53</v>
      </c>
      <c r="M45" s="24"/>
      <c r="N45" s="16" t="s">
        <v>200</v>
      </c>
      <c r="O45" s="19">
        <v>6.8</v>
      </c>
      <c r="P45" s="17" t="s">
        <v>66</v>
      </c>
      <c r="Q45" s="24"/>
    </row>
    <row r="46" spans="1:17" ht="15.6">
      <c r="A46" s="23"/>
      <c r="F46" s="28"/>
      <c r="G46" s="28"/>
      <c r="H46" s="28"/>
      <c r="J46" s="67" t="s">
        <v>59</v>
      </c>
      <c r="K46" s="67"/>
      <c r="L46" s="67"/>
      <c r="M46" s="24"/>
      <c r="Q46" s="24"/>
    </row>
    <row r="47" spans="1:17" ht="15.6">
      <c r="A47" s="23"/>
      <c r="F47" s="28"/>
      <c r="G47" s="28"/>
      <c r="H47" s="28"/>
      <c r="J47" s="16" t="s">
        <v>95</v>
      </c>
      <c r="K47" s="3">
        <f>Rdim1*0.001</f>
        <v>16.046715256524724</v>
      </c>
      <c r="L47" s="17" t="s">
        <v>53</v>
      </c>
    </row>
    <row r="48" spans="1:17" ht="15.6">
      <c r="A48" s="23"/>
      <c r="F48" s="28"/>
      <c r="G48" s="28"/>
      <c r="H48" s="28"/>
      <c r="J48" s="16" t="s">
        <v>96</v>
      </c>
      <c r="K48" s="3">
        <f>Rdim2*0.001</f>
        <v>98.184053974244506</v>
      </c>
      <c r="L48" s="17" t="s">
        <v>53</v>
      </c>
    </row>
    <row r="49" spans="1:22" ht="15.6">
      <c r="A49" s="23"/>
      <c r="F49" s="28"/>
      <c r="G49" s="28"/>
      <c r="H49" s="28"/>
      <c r="J49" s="16" t="s">
        <v>65</v>
      </c>
      <c r="K49" s="3">
        <f>K155*10^9</f>
        <v>437.71043771043776</v>
      </c>
      <c r="L49" s="17" t="s">
        <v>66</v>
      </c>
      <c r="Q49" s="22"/>
    </row>
    <row r="50" spans="1:22">
      <c r="A50" s="30"/>
      <c r="B50" s="28"/>
      <c r="C50" s="28"/>
      <c r="D50" s="28"/>
      <c r="E50" s="28"/>
      <c r="I50" s="28"/>
      <c r="J50" s="29"/>
      <c r="K50" s="29"/>
      <c r="L50" s="29"/>
      <c r="M50" s="28"/>
      <c r="Q50" s="28"/>
      <c r="R50" s="29"/>
      <c r="S50" s="29"/>
      <c r="T50" s="29"/>
      <c r="U50" s="29"/>
      <c r="V50" s="29"/>
    </row>
    <row r="51" spans="1:22" s="33" customFormat="1">
      <c r="A51" s="30"/>
      <c r="B51" s="30"/>
      <c r="C51" s="30"/>
      <c r="D51" s="30"/>
      <c r="E51" s="30"/>
      <c r="I51" s="30"/>
      <c r="M51" s="30"/>
      <c r="Q51" s="30"/>
    </row>
    <row r="52" spans="1:22" s="33" customFormat="1"/>
    <row r="53" spans="1:22" s="33" customFormat="1"/>
    <row r="54" spans="1:22" s="33" customFormat="1"/>
    <row r="55" spans="1:22" s="33" customFormat="1"/>
    <row r="56" spans="1:22" s="33" customFormat="1"/>
    <row r="57" spans="1:22" s="33" customFormat="1"/>
    <row r="58" spans="1:22" s="33" customFormat="1"/>
    <row r="59" spans="1:22" s="33" customFormat="1"/>
    <row r="60" spans="1:22" s="33" customFormat="1"/>
    <row r="61" spans="1:22" s="33" customFormat="1"/>
    <row r="62" spans="1:22" s="33" customFormat="1"/>
    <row r="63" spans="1:22" s="33" customFormat="1"/>
    <row r="64" spans="1:22"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pans="1:17" s="33" customFormat="1"/>
    <row r="98" spans="1:17" s="33" customFormat="1"/>
    <row r="99" spans="1:17" s="33" customFormat="1">
      <c r="A99" s="46"/>
      <c r="F99" s="30"/>
      <c r="G99" s="30"/>
      <c r="H99" s="30"/>
      <c r="Q99" s="47"/>
    </row>
    <row r="100" spans="1:17" s="33" customFormat="1">
      <c r="A100" s="46"/>
      <c r="B100" s="65" t="s">
        <v>0</v>
      </c>
      <c r="C100" s="66"/>
      <c r="D100" s="66"/>
      <c r="F100" s="65" t="s">
        <v>1</v>
      </c>
      <c r="G100" s="66"/>
      <c r="H100" s="66"/>
      <c r="J100" s="65" t="s">
        <v>33</v>
      </c>
      <c r="K100" s="66"/>
      <c r="L100" s="66"/>
      <c r="N100" s="65" t="s">
        <v>2</v>
      </c>
      <c r="O100" s="65"/>
      <c r="P100" s="65"/>
      <c r="Q100" s="47"/>
    </row>
    <row r="101" spans="1:17" s="33" customFormat="1" ht="15.6">
      <c r="A101" s="46"/>
      <c r="B101" s="34" t="s">
        <v>3</v>
      </c>
      <c r="C101" s="34">
        <f>Min_Vin*2^0.5</f>
        <v>292.74220741123071</v>
      </c>
      <c r="D101" s="34" t="s">
        <v>4</v>
      </c>
      <c r="F101" s="34" t="s">
        <v>86</v>
      </c>
      <c r="G101" s="34">
        <f>G28*1000</f>
        <v>60000</v>
      </c>
      <c r="H101" s="34" t="s">
        <v>5</v>
      </c>
      <c r="J101" s="34" t="s">
        <v>226</v>
      </c>
      <c r="K101" s="34">
        <v>130</v>
      </c>
      <c r="L101" s="35" t="s">
        <v>6</v>
      </c>
      <c r="N101" s="34" t="s">
        <v>92</v>
      </c>
      <c r="O101" s="34">
        <f>AVERAGE(peak_Vin_min,peak_Vin_max)</f>
        <v>333.0472939388639</v>
      </c>
      <c r="P101" s="35" t="s">
        <v>4</v>
      </c>
    </row>
    <row r="102" spans="1:17" s="33" customFormat="1" ht="15.6">
      <c r="A102" s="46"/>
      <c r="B102" s="34" t="s">
        <v>8</v>
      </c>
      <c r="C102" s="34">
        <f>Rated_Vin*(2)^0.5</f>
        <v>325.26911934581187</v>
      </c>
      <c r="D102" s="34" t="s">
        <v>4</v>
      </c>
      <c r="F102" s="34" t="s">
        <v>87</v>
      </c>
      <c r="G102" s="34">
        <f>1/Switch_freq</f>
        <v>1.6666666666666667E-5</v>
      </c>
      <c r="H102" s="34" t="s">
        <v>15</v>
      </c>
      <c r="J102" s="34" t="s">
        <v>227</v>
      </c>
      <c r="K102" s="34">
        <f>K29*10^-9</f>
        <v>9.0000000000000012E-8</v>
      </c>
      <c r="L102" s="35" t="s">
        <v>15</v>
      </c>
      <c r="N102" s="34" t="s">
        <v>93</v>
      </c>
      <c r="O102" s="34">
        <v>16.8</v>
      </c>
      <c r="P102" s="35" t="s">
        <v>4</v>
      </c>
    </row>
    <row r="103" spans="1:17" s="33" customFormat="1" ht="15.6">
      <c r="A103" s="30"/>
      <c r="B103" s="34" t="s">
        <v>13</v>
      </c>
      <c r="C103" s="34">
        <f>Max_Vin*2^0.5</f>
        <v>373.3523804664971</v>
      </c>
      <c r="D103" s="34" t="s">
        <v>4</v>
      </c>
      <c r="E103" s="30"/>
      <c r="F103" s="34" t="s">
        <v>88</v>
      </c>
      <c r="G103" s="34">
        <v>70000</v>
      </c>
      <c r="H103" s="34" t="s">
        <v>5</v>
      </c>
      <c r="I103" s="30"/>
      <c r="J103" s="34" t="s">
        <v>228</v>
      </c>
      <c r="K103" s="34">
        <f>6*Tpd*RCS*Rvs1_/(Nap*Lm)</f>
        <v>402.13097365340917</v>
      </c>
      <c r="L103" s="35" t="s">
        <v>6</v>
      </c>
      <c r="M103" s="30"/>
      <c r="N103" s="34" t="s">
        <v>168</v>
      </c>
      <c r="O103" s="34">
        <f>IF(Rated_Vin&gt;180, 2000000, 620000)</f>
        <v>2000000</v>
      </c>
      <c r="P103" s="35" t="s">
        <v>6</v>
      </c>
      <c r="Q103" s="30"/>
    </row>
    <row r="104" spans="1:17" s="33" customFormat="1" ht="15.6">
      <c r="A104" s="30"/>
      <c r="B104" s="34" t="s">
        <v>159</v>
      </c>
      <c r="C104" s="36">
        <f>AVERAGE(Min_Vin,Max_Vin)</f>
        <v>235.5</v>
      </c>
      <c r="D104" s="34" t="s">
        <v>4</v>
      </c>
      <c r="E104" s="30"/>
      <c r="F104" s="34" t="s">
        <v>89</v>
      </c>
      <c r="G104" s="34">
        <f>1/Switch_freq_D</f>
        <v>1.4285714285714285E-5</v>
      </c>
      <c r="H104" s="34" t="s">
        <v>15</v>
      </c>
      <c r="I104" s="30"/>
      <c r="J104" s="34" t="s">
        <v>35</v>
      </c>
      <c r="K104" s="34">
        <v>2.9</v>
      </c>
      <c r="L104" s="34" t="s">
        <v>4</v>
      </c>
      <c r="M104" s="30"/>
      <c r="N104" s="34" t="s">
        <v>11</v>
      </c>
      <c r="O104" s="34">
        <f>PeakVIN*Rvin1/(CenterVin.pk-PeakVIN)</f>
        <v>106245.96840501492</v>
      </c>
      <c r="P104" s="35" t="s">
        <v>6</v>
      </c>
      <c r="Q104" s="30"/>
    </row>
    <row r="105" spans="1:17" s="33" customFormat="1" ht="15.6">
      <c r="A105" s="30"/>
      <c r="B105" s="34" t="s">
        <v>17</v>
      </c>
      <c r="C105" s="34">
        <f>1/Line_freq*0.5</f>
        <v>0.01</v>
      </c>
      <c r="D105" s="34" t="s">
        <v>15</v>
      </c>
      <c r="E105" s="30"/>
      <c r="F105" s="34" t="s">
        <v>9</v>
      </c>
      <c r="G105" s="34">
        <f>Eff*Min_Vin^2*Switch_freq*Max_Ton^2/2/Pout</f>
        <v>8.5489706249999983E-4</v>
      </c>
      <c r="H105" s="34" t="s">
        <v>10</v>
      </c>
      <c r="I105" s="30"/>
      <c r="J105" s="34" t="s">
        <v>36</v>
      </c>
      <c r="K105" s="34">
        <v>0.7</v>
      </c>
      <c r="L105" s="34" t="s">
        <v>4</v>
      </c>
      <c r="M105" s="30"/>
      <c r="N105" s="34" t="s">
        <v>108</v>
      </c>
      <c r="O105" s="34">
        <f>Rvin2/(Rvin1+Rvin2)</f>
        <v>5.0443286301205939E-2</v>
      </c>
      <c r="P105" s="35"/>
      <c r="Q105" s="30"/>
    </row>
    <row r="106" spans="1:17" s="33" customFormat="1">
      <c r="A106" s="30"/>
      <c r="B106" s="34" t="s">
        <v>19</v>
      </c>
      <c r="C106" s="34">
        <f>C34*0.001</f>
        <v>0.15</v>
      </c>
      <c r="D106" s="34" t="s">
        <v>7</v>
      </c>
      <c r="E106" s="30"/>
      <c r="F106" s="65" t="s">
        <v>90</v>
      </c>
      <c r="G106" s="66"/>
      <c r="H106" s="66"/>
      <c r="I106" s="30"/>
      <c r="J106" s="34" t="s">
        <v>38</v>
      </c>
      <c r="K106" s="34">
        <f>67*10^-6</f>
        <v>6.7000000000000002E-5</v>
      </c>
      <c r="L106" s="34" t="s">
        <v>7</v>
      </c>
      <c r="M106" s="30"/>
      <c r="N106" s="65" t="s">
        <v>100</v>
      </c>
      <c r="O106" s="65"/>
      <c r="P106" s="65"/>
      <c r="Q106" s="30"/>
    </row>
    <row r="107" spans="1:17" s="33" customFormat="1" ht="15.6">
      <c r="A107" s="30"/>
      <c r="B107" s="34" t="s">
        <v>20</v>
      </c>
      <c r="C107" s="34">
        <v>0.85</v>
      </c>
      <c r="D107" s="34"/>
      <c r="E107" s="30"/>
      <c r="F107" s="34" t="s">
        <v>14</v>
      </c>
      <c r="G107" s="34">
        <f>Max._Duty*0.01/Switch_freq</f>
        <v>2.1666666666666665E-6</v>
      </c>
      <c r="H107" s="34" t="s">
        <v>15</v>
      </c>
      <c r="I107" s="30"/>
      <c r="J107" s="34" t="s">
        <v>169</v>
      </c>
      <c r="K107" s="36">
        <f>peak_Vin_max*2.5*10^-6/Tdis.max</f>
        <v>58.862876254180605</v>
      </c>
      <c r="L107" s="34" t="s">
        <v>4</v>
      </c>
      <c r="M107" s="30"/>
      <c r="N107" s="34" t="s">
        <v>99</v>
      </c>
      <c r="O107" s="34">
        <f>600*10^-9</f>
        <v>6.0000000000000008E-7</v>
      </c>
      <c r="P107" s="35" t="s">
        <v>15</v>
      </c>
      <c r="Q107" s="30"/>
    </row>
    <row r="108" spans="1:17" s="33" customFormat="1" ht="15.6">
      <c r="A108" s="30"/>
      <c r="B108" s="34" t="s">
        <v>21</v>
      </c>
      <c r="C108" s="34">
        <f>Pout/Eff</f>
        <v>7.0588235294117645</v>
      </c>
      <c r="D108" s="34" t="s">
        <v>22</v>
      </c>
      <c r="E108" s="30"/>
      <c r="F108" s="34" t="s">
        <v>90</v>
      </c>
      <c r="G108" s="34">
        <f>peak_Vin_min*Max_Ton/Lm</f>
        <v>0.7419311757482302</v>
      </c>
      <c r="H108" s="34" t="s">
        <v>7</v>
      </c>
      <c r="I108" s="30"/>
      <c r="J108" s="34" t="s">
        <v>170</v>
      </c>
      <c r="K108" s="36">
        <f>(Rated_Vout*2.5*10^-6)^2/(2*Lm*Ts_D*Iin.min)</f>
        <v>13.646867182523122</v>
      </c>
      <c r="L108" s="34" t="s">
        <v>4</v>
      </c>
      <c r="M108" s="30"/>
      <c r="N108" s="34" t="s">
        <v>98</v>
      </c>
      <c r="O108" s="34">
        <f>(O31+O32)*10^-9</f>
        <v>1.72E-7</v>
      </c>
      <c r="P108" s="35" t="s">
        <v>12</v>
      </c>
      <c r="Q108" s="30"/>
    </row>
    <row r="109" spans="1:17" s="33" customFormat="1" ht="15.6">
      <c r="A109" s="30"/>
      <c r="B109" s="65" t="s">
        <v>85</v>
      </c>
      <c r="C109" s="66"/>
      <c r="D109" s="66"/>
      <c r="E109" s="30"/>
      <c r="F109" s="65" t="s">
        <v>23</v>
      </c>
      <c r="G109" s="66"/>
      <c r="H109" s="66"/>
      <c r="I109" s="30"/>
      <c r="J109" s="34" t="s">
        <v>171</v>
      </c>
      <c r="K109" s="36">
        <f>IF(VIN.BNK.ND&gt;VIN.BNK.D,VIN.BNK.ND,VIN.BNK.D)</f>
        <v>58.862876254180605</v>
      </c>
      <c r="L109" s="34" t="s">
        <v>4</v>
      </c>
      <c r="M109" s="30"/>
      <c r="N109" s="34" t="s">
        <v>103</v>
      </c>
      <c r="O109" s="34">
        <f>2*Lm/(Ton.min^2*Switch_freq_D)</f>
        <v>67848.973214285681</v>
      </c>
      <c r="P109" s="35" t="s">
        <v>6</v>
      </c>
      <c r="Q109" s="30"/>
    </row>
    <row r="110" spans="1:17" s="33" customFormat="1" ht="15.6">
      <c r="A110" s="30"/>
      <c r="B110" s="34" t="s">
        <v>251</v>
      </c>
      <c r="C110" s="34">
        <f>Pout/Mean_Vin/0.83</f>
        <v>3.0696032537794495E-2</v>
      </c>
      <c r="D110" s="34" t="s">
        <v>7</v>
      </c>
      <c r="E110" s="30"/>
      <c r="F110" s="34" t="s">
        <v>23</v>
      </c>
      <c r="G110" s="34">
        <f xml:space="preserve"> ( (2*Ts_D*Iin.minVin.maxPA*peak_Vin_min)/Lm )^0.5</f>
        <v>0.67167541880077231</v>
      </c>
      <c r="H110" s="34" t="s">
        <v>7</v>
      </c>
      <c r="I110" s="30"/>
      <c r="J110" s="34" t="s">
        <v>39</v>
      </c>
      <c r="K110" s="34">
        <f>Nap*VIN.BNK.F/Ivs.bnk</f>
        <v>522157.30836572481</v>
      </c>
      <c r="L110" s="35" t="s">
        <v>6</v>
      </c>
      <c r="M110" s="30"/>
      <c r="N110" s="34" t="s">
        <v>117</v>
      </c>
      <c r="O110" s="34">
        <f>Mean_Vin*2^0.5</f>
        <v>333.0472939388639</v>
      </c>
      <c r="P110" s="35" t="s">
        <v>4</v>
      </c>
      <c r="Q110" s="30"/>
    </row>
    <row r="111" spans="1:17" s="33" customFormat="1" ht="15.6">
      <c r="A111" s="30"/>
      <c r="B111" s="34" t="s">
        <v>165</v>
      </c>
      <c r="C111" s="34">
        <f>C39*10^-3</f>
        <v>0.03</v>
      </c>
      <c r="D111" s="34" t="s">
        <v>7</v>
      </c>
      <c r="E111" s="30"/>
      <c r="F111" s="65" t="s">
        <v>91</v>
      </c>
      <c r="G111" s="66"/>
      <c r="H111" s="66"/>
      <c r="I111" s="30"/>
      <c r="J111" s="34" t="s">
        <v>41</v>
      </c>
      <c r="K111" s="34">
        <f>Rvs1_*Vvs.ovp/( (Max_Vout+Vf)*Nap - Vvs.ovp )</f>
        <v>67365.239682554995</v>
      </c>
      <c r="L111" s="35" t="s">
        <v>6</v>
      </c>
      <c r="M111" s="30"/>
      <c r="N111" s="34" t="s">
        <v>105</v>
      </c>
      <c r="O111" s="34">
        <v>10</v>
      </c>
      <c r="P111" s="35" t="s">
        <v>75</v>
      </c>
      <c r="Q111" s="30"/>
    </row>
    <row r="112" spans="1:17" s="33" customFormat="1" ht="15.6">
      <c r="A112" s="30"/>
      <c r="B112" s="34" t="s">
        <v>157</v>
      </c>
      <c r="C112" s="34">
        <f>PI()*Pin/( 2^0.5*Min_Vin*( 1 + COS(PI()-Max_PA*PI()/180) ) )</f>
        <v>4.6112156749496265E-2</v>
      </c>
      <c r="D112" s="34" t="s">
        <v>7</v>
      </c>
      <c r="E112" s="30"/>
      <c r="F112" s="37" t="s">
        <v>84</v>
      </c>
      <c r="G112" s="34">
        <f>IF(Ipk_at_dim_dcm&gt;Ipk_at_non_dim,Ipk_at_dim_dcm,Ipk_at_non_dim)</f>
        <v>0.7419311757482302</v>
      </c>
      <c r="H112" s="34" t="s">
        <v>7</v>
      </c>
      <c r="I112" s="30"/>
      <c r="J112" s="34" t="s">
        <v>42</v>
      </c>
      <c r="K112" s="34">
        <f>peak_Vin_min*Max_Ton/(Rated_Vout)</f>
        <v>1.5856869568108327E-5</v>
      </c>
      <c r="L112" s="34" t="s">
        <v>15</v>
      </c>
      <c r="M112" s="30"/>
      <c r="N112" s="34" t="s">
        <v>111</v>
      </c>
      <c r="O112" s="34">
        <f>Vin_ivc_pk*COS(A.ivc.start*PI()/180)</f>
        <v>327.98755719072892</v>
      </c>
      <c r="P112" s="35" t="s">
        <v>4</v>
      </c>
      <c r="Q112" s="30"/>
    </row>
    <row r="113" spans="1:19" s="33" customFormat="1" ht="15.6">
      <c r="A113" s="30"/>
      <c r="B113" s="34" t="s">
        <v>158</v>
      </c>
      <c r="C113" s="34">
        <f>PI()*Pin/( 2^0.5*Min_Vin*2 )</f>
        <v>3.7876239881997995E-2</v>
      </c>
      <c r="D113" s="34" t="s">
        <v>7</v>
      </c>
      <c r="E113" s="30"/>
      <c r="F113" s="65" t="s">
        <v>24</v>
      </c>
      <c r="G113" s="66"/>
      <c r="H113" s="66"/>
      <c r="I113" s="30"/>
      <c r="J113" s="65" t="s">
        <v>32</v>
      </c>
      <c r="K113" s="65"/>
      <c r="L113" s="65"/>
      <c r="M113" s="30"/>
      <c r="N113" s="34" t="s">
        <v>106</v>
      </c>
      <c r="O113" s="34">
        <f>A.ivc.start/180/(2*Line_freq)</f>
        <v>5.5555555555555556E-4</v>
      </c>
      <c r="P113" s="35" t="s">
        <v>15</v>
      </c>
      <c r="Q113" s="30"/>
    </row>
    <row r="114" spans="1:19" s="33" customFormat="1" ht="15.6">
      <c r="A114" s="30"/>
      <c r="B114" s="34" t="s">
        <v>160</v>
      </c>
      <c r="C114" s="34">
        <f>PI()*Pin/( 2^0.5*Mean_Vin*( 1 + COS(PI()-Max_PA*PI()/180) ) )</f>
        <v>4.0531704658792897E-2</v>
      </c>
      <c r="D114" s="34" t="s">
        <v>7</v>
      </c>
      <c r="E114" s="30"/>
      <c r="F114" s="34" t="s">
        <v>24</v>
      </c>
      <c r="G114" s="34">
        <f>2*Iin.minVin.maxPA*(Rated_Vout+peak_Vin_min)/(Rated_Vout)</f>
        <v>0.76717304126600339</v>
      </c>
      <c r="H114" s="34" t="s">
        <v>7</v>
      </c>
      <c r="I114" s="30"/>
      <c r="J114" s="34" t="s">
        <v>34</v>
      </c>
      <c r="K114" s="34">
        <v>510000</v>
      </c>
      <c r="L114" s="35"/>
      <c r="M114" s="30"/>
      <c r="N114" s="34" t="s">
        <v>110</v>
      </c>
      <c r="O114" s="34">
        <f>T.HLINE/2</f>
        <v>5.0000000000000001E-3</v>
      </c>
      <c r="P114" s="35" t="s">
        <v>15</v>
      </c>
      <c r="Q114" s="30"/>
    </row>
    <row r="115" spans="1:19" s="33" customFormat="1" ht="15.6">
      <c r="A115" s="30"/>
      <c r="B115" s="34" t="s">
        <v>161</v>
      </c>
      <c r="C115" s="34">
        <f>PI()*Pin/( 2^0.5*Mean_Vin*2 )</f>
        <v>3.3292491106469577E-2</v>
      </c>
      <c r="D115" s="34" t="s">
        <v>7</v>
      </c>
      <c r="E115" s="30"/>
      <c r="F115" s="34" t="s">
        <v>25</v>
      </c>
      <c r="G115" s="34">
        <f>G114*Lm/peak_Vin_min</f>
        <v>2.2403806584890032E-6</v>
      </c>
      <c r="H115" s="34" t="s">
        <v>15</v>
      </c>
      <c r="I115" s="30"/>
      <c r="J115" s="34" t="s">
        <v>268</v>
      </c>
      <c r="K115" s="34">
        <f>RCS*Iin.min*Kicc.hold</f>
        <v>11086.956521739132</v>
      </c>
      <c r="L115" s="35" t="s">
        <v>6</v>
      </c>
      <c r="M115" s="30"/>
      <c r="N115" s="34" t="s">
        <v>107</v>
      </c>
      <c r="O115" s="34">
        <f>4.8/rvin</f>
        <v>95.156369696818246</v>
      </c>
      <c r="P115" s="35" t="s">
        <v>4</v>
      </c>
      <c r="Q115" s="30"/>
    </row>
    <row r="116" spans="1:19" s="33" customFormat="1" ht="15.6">
      <c r="A116" s="30"/>
      <c r="E116" s="30"/>
      <c r="F116" s="34" t="s">
        <v>26</v>
      </c>
      <c r="G116" s="34">
        <f>G115*(peak_Vin_min+Rated_Vout)/(Rated_Vout)</f>
        <v>1.8636730143676438E-5</v>
      </c>
      <c r="H116" s="34" t="s">
        <v>15</v>
      </c>
      <c r="I116" s="30"/>
      <c r="J116" s="65" t="s">
        <v>37</v>
      </c>
      <c r="K116" s="65"/>
      <c r="L116" s="65"/>
      <c r="M116" s="30"/>
      <c r="N116" s="34" t="s">
        <v>109</v>
      </c>
      <c r="O116" s="34">
        <f>ACOS(Vin.ivc.clamp/Vin_ivc_pk)/(2*PI()*Line_freq)</f>
        <v>4.0776916889433195E-3</v>
      </c>
      <c r="P116" s="35" t="s">
        <v>15</v>
      </c>
      <c r="Q116" s="30"/>
    </row>
    <row r="117" spans="1:19" s="33" customFormat="1" ht="15.6">
      <c r="A117" s="30"/>
      <c r="E117" s="30"/>
      <c r="F117" s="34" t="s">
        <v>27</v>
      </c>
      <c r="G117" s="34">
        <f>1/G116</f>
        <v>53657.481344135165</v>
      </c>
      <c r="H117" s="34" t="s">
        <v>5</v>
      </c>
      <c r="I117" s="30"/>
      <c r="J117" s="34" t="s">
        <v>322</v>
      </c>
      <c r="K117" s="34">
        <v>3.5</v>
      </c>
      <c r="L117" s="35" t="s">
        <v>4</v>
      </c>
      <c r="M117" s="30"/>
      <c r="N117" s="65" t="s">
        <v>114</v>
      </c>
      <c r="O117" s="66"/>
      <c r="P117" s="66"/>
      <c r="Q117" s="30"/>
    </row>
    <row r="118" spans="1:19" s="33" customFormat="1" ht="15.6">
      <c r="A118" s="30"/>
      <c r="E118" s="30"/>
      <c r="F118" s="65" t="s">
        <v>28</v>
      </c>
      <c r="G118" s="66"/>
      <c r="H118" s="66"/>
      <c r="I118" s="30"/>
      <c r="J118" s="34" t="s">
        <v>83</v>
      </c>
      <c r="K118" s="34">
        <f>15*10^-6</f>
        <v>1.4999999999999999E-5</v>
      </c>
      <c r="L118" s="34" t="s">
        <v>7</v>
      </c>
      <c r="M118" s="30"/>
      <c r="N118" s="34" t="s">
        <v>112</v>
      </c>
      <c r="O118" s="34">
        <f>Ctotal*Vin.ivc.start</f>
        <v>5.6413859836805377E-5</v>
      </c>
      <c r="P118" s="35" t="s">
        <v>113</v>
      </c>
      <c r="Q118" s="30"/>
    </row>
    <row r="119" spans="1:19" s="33" customFormat="1" ht="15.6">
      <c r="A119" s="30"/>
      <c r="B119" s="30"/>
      <c r="C119" s="30"/>
      <c r="D119" s="30"/>
      <c r="E119" s="30"/>
      <c r="F119" s="37" t="s">
        <v>28</v>
      </c>
      <c r="G119" s="34">
        <f>IF(Ipk_max&gt;Ipk_at_dim_bcm,Ipk_max,Ipk_at_dim_bcm)</f>
        <v>0.76717304126600339</v>
      </c>
      <c r="H119" s="34" t="s">
        <v>7</v>
      </c>
      <c r="I119" s="30"/>
      <c r="J119" s="34" t="s">
        <v>40</v>
      </c>
      <c r="K119" s="34">
        <f>K41*10^-9</f>
        <v>3.3000000000000004E-8</v>
      </c>
      <c r="L119" s="34" t="s">
        <v>12</v>
      </c>
      <c r="M119" s="30"/>
      <c r="N119" s="34" t="s">
        <v>115</v>
      </c>
      <c r="O119" s="34">
        <f>Vin_ivc_pk/(Rfly*2*PI()*Line_freq)*( SIN(2*PI()*Line_freq*T.ivc.stop) - SIN(2*PI()*Line_freq*T.ivc.start) )</f>
        <v>1.2911531112348668E-5</v>
      </c>
      <c r="P119" s="35" t="s">
        <v>113</v>
      </c>
      <c r="Q119" s="30"/>
    </row>
    <row r="120" spans="1:19" s="33" customFormat="1" ht="15.6">
      <c r="A120" s="30"/>
      <c r="B120" s="30"/>
      <c r="C120" s="30"/>
      <c r="D120" s="30"/>
      <c r="E120" s="30"/>
      <c r="F120" s="65" t="s">
        <v>323</v>
      </c>
      <c r="G120" s="66"/>
      <c r="H120" s="66"/>
      <c r="I120" s="30"/>
      <c r="J120" s="34" t="s">
        <v>144</v>
      </c>
      <c r="K120" s="34">
        <f>0.5*(VFB.BOUND+1)/(15*10^-6 - 33*10^-9*(VFB.BOUND-1)/T.HLINE)</f>
        <v>333333.33333333343</v>
      </c>
      <c r="L120" s="34" t="s">
        <v>6</v>
      </c>
      <c r="M120" s="30"/>
      <c r="N120" s="34" t="s">
        <v>119</v>
      </c>
      <c r="O120" s="34">
        <f>1.6*(T.ivc.clamp-T.ivc.start)  -  Vin_ivc_pk*rvin*0.08/(2*PI()*Line_freq)*( SIN(2*PI()*Line_freq*T.ivc.clamp) - SIN(2*PI()*Line_freq*T.ivc.start) ) + 0.5*(T.ivc.stop-T.ivc.clamp)</f>
        <v>2.739701360499646E-3</v>
      </c>
      <c r="P120" s="35" t="s">
        <v>118</v>
      </c>
      <c r="Q120" s="30"/>
    </row>
    <row r="121" spans="1:19" s="33" customFormat="1" ht="15.6">
      <c r="A121" s="30"/>
      <c r="E121" s="30"/>
      <c r="F121" s="34" t="s">
        <v>29</v>
      </c>
      <c r="G121" s="34">
        <f>G30*10^-6</f>
        <v>2.3699999999999997E-5</v>
      </c>
      <c r="H121" s="34" t="s">
        <v>324</v>
      </c>
      <c r="I121" s="30"/>
      <c r="J121" s="34" t="s">
        <v>143</v>
      </c>
      <c r="K121" s="34">
        <f>K40*1000</f>
        <v>330000</v>
      </c>
      <c r="L121" s="34" t="s">
        <v>6</v>
      </c>
      <c r="M121" s="30"/>
      <c r="N121" s="34" t="s">
        <v>116</v>
      </c>
      <c r="O121" s="34">
        <f>A.Vrivc/(Q_Ctotal-Q_fly)</f>
        <v>62.978268999181296</v>
      </c>
      <c r="P121" s="35" t="s">
        <v>6</v>
      </c>
      <c r="Q121" s="30"/>
      <c r="S121" s="38"/>
    </row>
    <row r="122" spans="1:19" s="33" customFormat="1">
      <c r="A122" s="30"/>
      <c r="E122" s="30"/>
      <c r="F122" s="34" t="s">
        <v>30</v>
      </c>
      <c r="G122" s="34">
        <v>4.5999999999999996</v>
      </c>
      <c r="H122" s="34"/>
      <c r="I122" s="30"/>
      <c r="J122" s="34" t="s">
        <v>162</v>
      </c>
      <c r="K122" s="34">
        <f>14.2*10^-6*RTOP - (14.2*10^-6*RTOP - 1)*EXP(-T.HLINE/(RTOP*Ctop))</f>
        <v>3.2145207112022227</v>
      </c>
      <c r="L122" s="34" t="s">
        <v>4</v>
      </c>
      <c r="M122" s="30"/>
      <c r="N122" s="65" t="s">
        <v>101</v>
      </c>
      <c r="O122" s="65"/>
      <c r="P122" s="65"/>
      <c r="Q122" s="30"/>
    </row>
    <row r="123" spans="1:19" s="33" customFormat="1" ht="15.6">
      <c r="A123" s="30"/>
      <c r="E123" s="30"/>
      <c r="F123" s="34" t="s">
        <v>31</v>
      </c>
      <c r="G123" s="34">
        <v>1</v>
      </c>
      <c r="H123" s="34" t="s">
        <v>4</v>
      </c>
      <c r="I123" s="30"/>
      <c r="J123" s="65" t="s">
        <v>131</v>
      </c>
      <c r="K123" s="66"/>
      <c r="L123" s="66"/>
      <c r="M123" s="30"/>
      <c r="N123" s="34" t="s">
        <v>120</v>
      </c>
      <c r="O123" s="34">
        <f>Ctotal*peak_Vin_max*(2*PI()*Line_freq)+Iin.min</f>
        <v>5.0174242845589509E-2</v>
      </c>
      <c r="P123" s="35" t="s">
        <v>7</v>
      </c>
      <c r="Q123" s="30"/>
    </row>
    <row r="124" spans="1:19" s="33" customFormat="1" ht="15.6">
      <c r="A124" s="30"/>
      <c r="E124" s="30"/>
      <c r="F124" s="34" t="s">
        <v>329</v>
      </c>
      <c r="G124" s="39">
        <f>25/Max_Vout</f>
        <v>0.59523809523809523</v>
      </c>
      <c r="H124" s="35"/>
      <c r="I124" s="30"/>
      <c r="J124" s="34" t="s">
        <v>125</v>
      </c>
      <c r="K124" s="34">
        <v>0.4</v>
      </c>
      <c r="L124" s="35" t="s">
        <v>4</v>
      </c>
      <c r="M124" s="30"/>
      <c r="N124" s="34" t="s">
        <v>102</v>
      </c>
      <c r="O124" s="34">
        <f>O36*10^-3</f>
        <v>7.9000000000000001E-2</v>
      </c>
      <c r="P124" s="35" t="s">
        <v>7</v>
      </c>
      <c r="Q124" s="30"/>
    </row>
    <row r="125" spans="1:19" s="33" customFormat="1" ht="15.6">
      <c r="A125" s="30"/>
      <c r="E125" s="34"/>
      <c r="F125" s="34" t="s">
        <v>330</v>
      </c>
      <c r="G125" s="39">
        <f>Na/Np</f>
        <v>0.59433962264150941</v>
      </c>
      <c r="H125" s="35"/>
      <c r="I125" s="30"/>
      <c r="J125" s="34" t="s">
        <v>126</v>
      </c>
      <c r="K125" s="34">
        <f>K124*(1-0.075)</f>
        <v>0.37000000000000005</v>
      </c>
      <c r="L125" s="35" t="s">
        <v>4</v>
      </c>
      <c r="M125" s="30"/>
      <c r="N125" s="65" t="s">
        <v>312</v>
      </c>
      <c r="O125" s="65"/>
      <c r="P125" s="65"/>
      <c r="Q125" s="30"/>
    </row>
    <row r="126" spans="1:19" s="33" customFormat="1" ht="15.6">
      <c r="A126" s="30"/>
      <c r="E126" s="34"/>
      <c r="F126" s="65" t="s">
        <v>211</v>
      </c>
      <c r="G126" s="66"/>
      <c r="H126" s="66"/>
      <c r="I126" s="30"/>
      <c r="J126" s="34" t="s">
        <v>127</v>
      </c>
      <c r="K126" s="34">
        <f>K124*(1+0.075)</f>
        <v>0.43</v>
      </c>
      <c r="L126" s="35" t="s">
        <v>4</v>
      </c>
      <c r="M126" s="30"/>
      <c r="N126" s="34" t="s">
        <v>313</v>
      </c>
      <c r="O126" s="34">
        <f>O40*10^-9*0.9</f>
        <v>6.1200000000000005E-8</v>
      </c>
      <c r="P126" s="35" t="s">
        <v>12</v>
      </c>
      <c r="Q126" s="30"/>
      <c r="S126" s="38"/>
    </row>
    <row r="127" spans="1:19" s="33" customFormat="1" ht="15.6">
      <c r="A127" s="30"/>
      <c r="E127" s="34"/>
      <c r="F127" s="34" t="s">
        <v>212</v>
      </c>
      <c r="G127" s="34">
        <f>2*peak_Vin_min/(PI()*Lm)*(Max_Ton^3/(3*Ts))^0.5</f>
        <v>9.8322925522137811E-2</v>
      </c>
      <c r="H127" s="34" t="s">
        <v>7</v>
      </c>
      <c r="I127" s="30"/>
      <c r="J127" s="34" t="s">
        <v>128</v>
      </c>
      <c r="K127" s="34">
        <f>K125*(1-0.4)</f>
        <v>0.22200000000000003</v>
      </c>
      <c r="L127" s="35" t="s">
        <v>4</v>
      </c>
      <c r="M127" s="30"/>
      <c r="N127" s="34" t="s">
        <v>315</v>
      </c>
      <c r="O127" s="48">
        <f>1.5*(Rvin1+Rvin2)/Rvin2</f>
        <v>29.736365530255704</v>
      </c>
      <c r="P127" s="35" t="s">
        <v>316</v>
      </c>
      <c r="Q127" s="30"/>
      <c r="S127" s="40"/>
    </row>
    <row r="128" spans="1:19" s="33" customFormat="1" ht="15.6">
      <c r="A128" s="30"/>
      <c r="E128" s="34"/>
      <c r="I128" s="30"/>
      <c r="J128" s="34" t="s">
        <v>129</v>
      </c>
      <c r="K128" s="34">
        <f>K126*(1+0.05)</f>
        <v>0.45150000000000001</v>
      </c>
      <c r="L128" s="35" t="s">
        <v>4</v>
      </c>
      <c r="M128" s="30"/>
      <c r="N128" s="34" t="s">
        <v>314</v>
      </c>
      <c r="O128" s="34">
        <f>Vin.ini * C.IN2 / (Lm*1.15*C.IN2)^0.5 * SIN(10^-5/(Lm*1.15*C.IN2)^0.5) * RCS</f>
        <v>0.16331515188187429</v>
      </c>
      <c r="P128" s="35" t="s">
        <v>4</v>
      </c>
      <c r="Q128" s="30"/>
      <c r="S128" s="40"/>
    </row>
    <row r="129" spans="1:19" s="33" customFormat="1">
      <c r="A129" s="30"/>
      <c r="E129" s="30"/>
      <c r="I129" s="30"/>
      <c r="J129" s="65" t="s">
        <v>130</v>
      </c>
      <c r="K129" s="66"/>
      <c r="L129" s="66"/>
      <c r="M129" s="30"/>
      <c r="Q129" s="30"/>
      <c r="S129" s="40"/>
    </row>
    <row r="130" spans="1:19" s="33" customFormat="1" ht="15.6">
      <c r="A130" s="30"/>
      <c r="E130" s="30"/>
      <c r="I130" s="30"/>
      <c r="J130" s="34" t="s">
        <v>132</v>
      </c>
      <c r="K130" s="34">
        <v>1.4</v>
      </c>
      <c r="L130" s="35" t="s">
        <v>4</v>
      </c>
      <c r="M130" s="30"/>
      <c r="Q130" s="30"/>
    </row>
    <row r="131" spans="1:19" s="33" customFormat="1" ht="15.6">
      <c r="A131" s="30"/>
      <c r="E131" s="30"/>
      <c r="I131" s="30"/>
      <c r="J131" s="34" t="s">
        <v>138</v>
      </c>
      <c r="K131" s="34">
        <f>K130*(1-0.12)</f>
        <v>1.232</v>
      </c>
      <c r="L131" s="35" t="s">
        <v>4</v>
      </c>
      <c r="M131" s="30"/>
      <c r="Q131" s="30"/>
    </row>
    <row r="132" spans="1:19" s="33" customFormat="1" ht="15.6">
      <c r="A132" s="30"/>
      <c r="E132" s="30"/>
      <c r="F132" s="30"/>
      <c r="G132" s="30"/>
      <c r="H132" s="30"/>
      <c r="I132" s="30"/>
      <c r="J132" s="34" t="s">
        <v>134</v>
      </c>
      <c r="K132" s="34">
        <f>K130*(1+0.12)</f>
        <v>1.5680000000000001</v>
      </c>
      <c r="L132" s="35" t="s">
        <v>4</v>
      </c>
      <c r="M132" s="30"/>
      <c r="N132" s="30"/>
      <c r="O132" s="30"/>
      <c r="P132" s="30"/>
      <c r="Q132" s="30"/>
    </row>
    <row r="133" spans="1:19" s="33" customFormat="1" ht="15.6">
      <c r="A133" s="30"/>
      <c r="E133" s="30"/>
      <c r="I133" s="30"/>
      <c r="J133" s="34" t="s">
        <v>133</v>
      </c>
      <c r="K133" s="34">
        <f>K131*(1-0.16)</f>
        <v>1.03488</v>
      </c>
      <c r="L133" s="35" t="s">
        <v>4</v>
      </c>
      <c r="M133" s="30"/>
      <c r="N133" s="30"/>
      <c r="O133" s="30"/>
      <c r="P133" s="30"/>
      <c r="Q133" s="30"/>
    </row>
    <row r="134" spans="1:19" s="33" customFormat="1" ht="15.6">
      <c r="A134" s="30"/>
      <c r="E134" s="30"/>
      <c r="I134" s="30"/>
      <c r="J134" s="34" t="s">
        <v>135</v>
      </c>
      <c r="K134" s="34">
        <f>K132*(1+0.03)</f>
        <v>1.61504</v>
      </c>
      <c r="L134" s="35" t="s">
        <v>4</v>
      </c>
      <c r="M134" s="30"/>
      <c r="N134" s="30"/>
      <c r="O134" s="30"/>
      <c r="P134" s="30"/>
      <c r="Q134" s="30"/>
    </row>
    <row r="135" spans="1:19" s="33" customFormat="1">
      <c r="A135" s="30"/>
      <c r="E135" s="30"/>
      <c r="I135" s="30"/>
      <c r="J135" s="65" t="s">
        <v>136</v>
      </c>
      <c r="K135" s="66"/>
      <c r="L135" s="66"/>
      <c r="M135" s="30"/>
      <c r="Q135" s="30"/>
    </row>
    <row r="136" spans="1:19" s="33" customFormat="1" ht="15.6">
      <c r="A136" s="30"/>
      <c r="E136" s="30"/>
      <c r="I136" s="30"/>
      <c r="J136" s="34" t="s">
        <v>140</v>
      </c>
      <c r="K136" s="34">
        <v>20000</v>
      </c>
      <c r="L136" s="35" t="s">
        <v>6</v>
      </c>
      <c r="M136" s="30"/>
      <c r="Q136" s="30"/>
    </row>
    <row r="137" spans="1:19" s="33" customFormat="1" ht="15.6">
      <c r="A137" s="30"/>
      <c r="B137" s="30"/>
      <c r="C137" s="30"/>
      <c r="D137" s="30"/>
      <c r="E137" s="30"/>
      <c r="I137" s="30"/>
      <c r="J137" s="34" t="s">
        <v>122</v>
      </c>
      <c r="K137" s="34">
        <f>(RHOLD*39*10^-6+Vf.min.icc) / (VTOP.MAX-Vth.min.icc) * RICC.total</f>
        <v>6004.5795711613791</v>
      </c>
      <c r="L137" s="35" t="s">
        <v>6</v>
      </c>
      <c r="M137" s="30"/>
      <c r="Q137" s="30"/>
    </row>
    <row r="138" spans="1:19" s="33" customFormat="1" ht="15.6">
      <c r="A138" s="30"/>
      <c r="B138" s="30"/>
      <c r="C138" s="30"/>
      <c r="D138" s="30"/>
      <c r="E138" s="30"/>
      <c r="I138" s="30"/>
      <c r="J138" s="34" t="s">
        <v>121</v>
      </c>
      <c r="K138" s="34">
        <f>RICC.total-RICC2</f>
        <v>13995.420428838621</v>
      </c>
      <c r="L138" s="35" t="s">
        <v>6</v>
      </c>
      <c r="M138" s="30"/>
      <c r="Q138" s="30"/>
    </row>
    <row r="139" spans="1:19" s="33" customFormat="1">
      <c r="A139" s="30"/>
      <c r="B139" s="30"/>
      <c r="C139" s="30"/>
      <c r="D139" s="30"/>
      <c r="E139" s="30"/>
      <c r="I139" s="30"/>
      <c r="J139" s="34" t="s">
        <v>155</v>
      </c>
      <c r="K139" s="34">
        <f>(RHOLD*Iin.meanVin.maxPA/Iin.min*41*10^-6 + Vf.max.icc) * RICC.total / RICC2 + Vth.max.icc</f>
        <v>5.1644756444210884</v>
      </c>
      <c r="L139" s="34" t="s">
        <v>4</v>
      </c>
      <c r="M139" s="30"/>
      <c r="Q139" s="30"/>
    </row>
    <row r="140" spans="1:19" s="33" customFormat="1">
      <c r="A140" s="30"/>
      <c r="B140" s="30"/>
      <c r="C140" s="30"/>
      <c r="D140" s="30"/>
      <c r="E140" s="30"/>
      <c r="I140" s="30"/>
      <c r="J140" s="34" t="s">
        <v>156</v>
      </c>
      <c r="K140" s="34">
        <f>(RHOLD*Iin.meanVin.180PA/Iin.min*41*10^-6 + Vf.max.icc) * RICC.total / RICC2 + Vth.max.icc</f>
        <v>4.7991217626429892</v>
      </c>
      <c r="L140" s="34" t="s">
        <v>4</v>
      </c>
      <c r="M140" s="30"/>
      <c r="Q140" s="30"/>
    </row>
    <row r="141" spans="1:19" s="33" customFormat="1">
      <c r="A141" s="30"/>
      <c r="B141" s="30"/>
      <c r="C141" s="30"/>
      <c r="D141" s="30"/>
      <c r="E141" s="30"/>
      <c r="I141" s="30"/>
      <c r="J141" s="34" t="s">
        <v>163</v>
      </c>
      <c r="K141" s="34">
        <f>RHOLD*Iin.meanVin.maxPA/Iin.min*41*10^-6</f>
        <v>0.61414343798214466</v>
      </c>
      <c r="L141" s="34" t="s">
        <v>4</v>
      </c>
      <c r="M141" s="30"/>
      <c r="Q141" s="30"/>
    </row>
    <row r="142" spans="1:19" s="33" customFormat="1">
      <c r="A142" s="30"/>
      <c r="B142" s="30"/>
      <c r="C142" s="30"/>
      <c r="D142" s="30"/>
      <c r="E142" s="30"/>
      <c r="I142" s="30"/>
      <c r="J142" s="34" t="s">
        <v>164</v>
      </c>
      <c r="K142" s="34">
        <f>(4.9-Vth.max.icc)*RICC2/RICC.total - Vf.max.icc</f>
        <v>0.53474018540411439</v>
      </c>
      <c r="L142" s="34" t="s">
        <v>4</v>
      </c>
      <c r="M142" s="30"/>
      <c r="Q142" s="30"/>
    </row>
    <row r="143" spans="1:19" s="33" customFormat="1">
      <c r="A143" s="30"/>
      <c r="B143" s="30"/>
      <c r="C143" s="30"/>
      <c r="D143" s="30"/>
      <c r="E143" s="30"/>
      <c r="I143" s="30"/>
      <c r="J143" s="34" t="s">
        <v>139</v>
      </c>
      <c r="K143" s="34">
        <f>(K142-K141)/K141*100</f>
        <v>-12.929105428354152</v>
      </c>
      <c r="L143" s="34" t="s">
        <v>47</v>
      </c>
      <c r="M143" s="30"/>
      <c r="Q143" s="30"/>
    </row>
    <row r="144" spans="1:19" s="33" customFormat="1">
      <c r="A144" s="30"/>
      <c r="B144" s="30"/>
      <c r="C144" s="30"/>
      <c r="D144" s="30"/>
      <c r="E144" s="30"/>
      <c r="I144" s="30"/>
      <c r="J144" s="65" t="s">
        <v>141</v>
      </c>
      <c r="K144" s="65"/>
      <c r="L144" s="65"/>
      <c r="M144" s="30"/>
      <c r="Q144" s="30"/>
    </row>
    <row r="145" spans="1:17" s="33" customFormat="1" ht="15.6">
      <c r="A145" s="30"/>
      <c r="B145" s="30"/>
      <c r="C145" s="30"/>
      <c r="D145" s="30"/>
      <c r="E145" s="30"/>
      <c r="I145" s="30"/>
      <c r="J145" s="34" t="s">
        <v>166</v>
      </c>
      <c r="K145" s="34">
        <f>Pin/(peak_Vin_max*2/PI())</f>
        <v>2.9698415362021162E-2</v>
      </c>
      <c r="L145" s="35" t="s">
        <v>7</v>
      </c>
      <c r="M145" s="30"/>
      <c r="Q145" s="30"/>
    </row>
    <row r="146" spans="1:17" s="33" customFormat="1">
      <c r="A146" s="30"/>
      <c r="B146" s="30"/>
      <c r="C146" s="30"/>
      <c r="D146" s="30"/>
      <c r="E146" s="30"/>
      <c r="I146" s="30"/>
      <c r="J146" s="34" t="s">
        <v>167</v>
      </c>
      <c r="K146" s="34">
        <f>(RHOLD*39*10^-6*Iin.maxVin.180PA.woOTC/Iin.min + Vf.min.icc) * RICC.total / RICC2 + Vth.min.icc</f>
        <v>3.2000425868038347</v>
      </c>
      <c r="L146" s="34" t="s">
        <v>4</v>
      </c>
      <c r="M146" s="30"/>
      <c r="Q146" s="30"/>
    </row>
    <row r="147" spans="1:17" s="33" customFormat="1">
      <c r="A147" s="30"/>
      <c r="B147" s="30"/>
      <c r="C147" s="30"/>
      <c r="D147" s="30"/>
      <c r="E147" s="30"/>
      <c r="I147" s="30"/>
      <c r="J147" s="34" t="s">
        <v>172</v>
      </c>
      <c r="K147" s="34">
        <f>ACOS(1 - Pin*PI()/Iin.min/peak_Vin_max) / (2*PI()*Line_freq)</f>
        <v>9.3606267710430145E-3</v>
      </c>
      <c r="L147" s="34" t="s">
        <v>142</v>
      </c>
      <c r="M147" s="30"/>
      <c r="Q147" s="30"/>
    </row>
    <row r="148" spans="1:17" s="33" customFormat="1">
      <c r="A148" s="30"/>
      <c r="B148" s="30"/>
      <c r="C148" s="30"/>
      <c r="D148" s="30"/>
      <c r="E148" s="30"/>
      <c r="I148" s="30"/>
      <c r="J148" s="34" t="s">
        <v>146</v>
      </c>
      <c r="K148" s="34">
        <f>14.2*10^-6*RTOP - (14.2*10^-6*RTOP - 1)*EXP(-K147/(RTOP*Ctop))</f>
        <v>3.1255407448183132</v>
      </c>
      <c r="L148" s="34" t="s">
        <v>4</v>
      </c>
      <c r="M148" s="30"/>
      <c r="Q148" s="30"/>
    </row>
    <row r="149" spans="1:17" s="33" customFormat="1">
      <c r="A149" s="30"/>
      <c r="B149" s="30"/>
      <c r="C149" s="30"/>
      <c r="D149" s="30"/>
      <c r="E149" s="30"/>
      <c r="I149" s="30"/>
      <c r="J149" s="34" t="s">
        <v>147</v>
      </c>
      <c r="K149" s="34">
        <f>IF(Iin.maxVin.180PA.woOTC&gt;Iin.min,K146,K148)</f>
        <v>3.1255407448183132</v>
      </c>
      <c r="L149" s="34" t="s">
        <v>4</v>
      </c>
      <c r="M149" s="30"/>
      <c r="Q149" s="30"/>
    </row>
    <row r="150" spans="1:17" s="33" customFormat="1">
      <c r="A150" s="30"/>
      <c r="B150" s="30"/>
      <c r="C150" s="30"/>
      <c r="D150" s="30"/>
      <c r="E150" s="30"/>
      <c r="I150" s="30"/>
      <c r="J150" s="65" t="s">
        <v>16</v>
      </c>
      <c r="K150" s="65"/>
      <c r="L150" s="65"/>
      <c r="M150" s="30"/>
      <c r="Q150" s="30"/>
    </row>
    <row r="151" spans="1:17" s="33" customFormat="1" ht="15.6">
      <c r="A151" s="30"/>
      <c r="B151" s="30"/>
      <c r="C151" s="30"/>
      <c r="D151" s="30"/>
      <c r="E151" s="30"/>
      <c r="I151" s="30"/>
      <c r="J151" s="34" t="s">
        <v>94</v>
      </c>
      <c r="K151" s="34">
        <f>3.3/( (40*10^-6) * Max_PA/180 )</f>
        <v>114230.76923076923</v>
      </c>
      <c r="L151" s="35" t="s">
        <v>6</v>
      </c>
      <c r="M151" s="30"/>
      <c r="Q151" s="30"/>
    </row>
    <row r="152" spans="1:17" s="33" customFormat="1" ht="15.6">
      <c r="A152" s="30"/>
      <c r="B152" s="30"/>
      <c r="C152" s="30"/>
      <c r="D152" s="30"/>
      <c r="E152" s="30"/>
      <c r="I152" s="30"/>
      <c r="J152" s="34" t="s">
        <v>148</v>
      </c>
      <c r="K152" s="34">
        <f>IF(K149/3.2&lt;1,K149/3.2*0.88,1)</f>
        <v>0.85952370482503615</v>
      </c>
      <c r="L152" s="35"/>
      <c r="M152" s="30"/>
      <c r="Q152" s="30"/>
    </row>
    <row r="153" spans="1:17" s="33" customFormat="1" ht="15.6">
      <c r="A153" s="30"/>
      <c r="B153" s="30"/>
      <c r="C153" s="30"/>
      <c r="D153" s="30"/>
      <c r="E153" s="30"/>
      <c r="I153" s="30"/>
      <c r="J153" s="34" t="s">
        <v>149</v>
      </c>
      <c r="K153" s="34">
        <f>Rdim.total-Rdim2</f>
        <v>16046.715256524723</v>
      </c>
      <c r="L153" s="35" t="s">
        <v>6</v>
      </c>
      <c r="M153" s="30"/>
      <c r="Q153" s="30"/>
    </row>
    <row r="154" spans="1:17" s="33" customFormat="1" ht="15.6">
      <c r="A154" s="30"/>
      <c r="B154" s="30"/>
      <c r="C154" s="30"/>
      <c r="D154" s="30"/>
      <c r="E154" s="30"/>
      <c r="I154" s="30"/>
      <c r="J154" s="34" t="s">
        <v>150</v>
      </c>
      <c r="K154" s="34">
        <f>Rdim.total*K152</f>
        <v>98184.053974244511</v>
      </c>
      <c r="L154" s="35" t="s">
        <v>6</v>
      </c>
      <c r="M154" s="30"/>
      <c r="Q154" s="30"/>
    </row>
    <row r="155" spans="1:17" s="33" customFormat="1">
      <c r="A155" s="30"/>
      <c r="B155" s="30"/>
      <c r="C155" s="30"/>
      <c r="D155" s="30"/>
      <c r="E155" s="30"/>
      <c r="I155" s="30"/>
      <c r="J155" s="34" t="s">
        <v>18</v>
      </c>
      <c r="K155" s="34">
        <f>50*0.001/Rdim.total</f>
        <v>4.3771043771043773E-7</v>
      </c>
      <c r="L155" s="34" t="s">
        <v>12</v>
      </c>
      <c r="M155" s="30"/>
      <c r="Q155" s="30"/>
    </row>
    <row r="156" spans="1:17" s="33" customFormat="1">
      <c r="A156" s="30"/>
      <c r="B156" s="30"/>
      <c r="C156" s="30"/>
      <c r="D156" s="30"/>
      <c r="E156" s="30"/>
      <c r="I156" s="30"/>
      <c r="J156" s="65" t="s">
        <v>151</v>
      </c>
      <c r="K156" s="65"/>
      <c r="L156" s="65"/>
      <c r="M156" s="30"/>
      <c r="Q156" s="30"/>
    </row>
    <row r="157" spans="1:17" s="33" customFormat="1" ht="15.6">
      <c r="A157" s="30"/>
      <c r="B157" s="30"/>
      <c r="C157" s="30"/>
      <c r="D157" s="30"/>
      <c r="E157" s="30"/>
      <c r="I157" s="30"/>
      <c r="J157" s="34" t="s">
        <v>219</v>
      </c>
      <c r="K157" s="34">
        <f>2.25*180/(40*10^-6*Rdim.total)</f>
        <v>88.63636363636364</v>
      </c>
      <c r="L157" s="35" t="s">
        <v>75</v>
      </c>
      <c r="M157" s="30"/>
      <c r="Q157" s="30"/>
    </row>
    <row r="158" spans="1:17" s="33" customFormat="1" ht="15.6">
      <c r="A158" s="30"/>
      <c r="B158" s="30"/>
      <c r="C158" s="30"/>
      <c r="D158" s="30"/>
      <c r="E158" s="30"/>
      <c r="I158" s="30"/>
      <c r="J158" s="34" t="s">
        <v>220</v>
      </c>
      <c r="K158" s="34">
        <f>K157/180*T.HLINE</f>
        <v>4.9242424242424247E-3</v>
      </c>
      <c r="L158" s="35" t="s">
        <v>15</v>
      </c>
      <c r="M158" s="30"/>
      <c r="Q158" s="30"/>
    </row>
    <row r="159" spans="1:17" s="33" customFormat="1" ht="15.6">
      <c r="A159" s="30"/>
      <c r="B159" s="30"/>
      <c r="C159" s="30"/>
      <c r="D159" s="30"/>
      <c r="E159" s="30"/>
      <c r="I159" s="30"/>
      <c r="J159" s="34" t="s">
        <v>221</v>
      </c>
      <c r="K159" s="34">
        <f>2.25*K158/(Rdim.total*K155)</f>
        <v>0.22159090909090912</v>
      </c>
      <c r="L159" s="35" t="s">
        <v>4</v>
      </c>
      <c r="M159" s="30"/>
      <c r="Q159" s="30"/>
    </row>
    <row r="160" spans="1:17" s="33" customFormat="1" ht="15.6">
      <c r="A160" s="30"/>
      <c r="B160" s="30"/>
      <c r="C160" s="30"/>
      <c r="D160" s="30"/>
      <c r="E160" s="30"/>
      <c r="I160" s="30"/>
      <c r="J160" s="34" t="s">
        <v>222</v>
      </c>
      <c r="K160" s="34">
        <f>2.25+K159/2</f>
        <v>2.3607954545454546</v>
      </c>
      <c r="L160" s="35" t="s">
        <v>4</v>
      </c>
      <c r="M160" s="30"/>
      <c r="Q160" s="30"/>
    </row>
    <row r="161" spans="1:17" s="33" customFormat="1" ht="15.6">
      <c r="A161" s="30"/>
      <c r="B161" s="30"/>
      <c r="C161" s="30"/>
      <c r="D161" s="30"/>
      <c r="E161" s="30"/>
      <c r="I161" s="30"/>
      <c r="J161" s="34" t="s">
        <v>223</v>
      </c>
      <c r="K161" s="34">
        <f>K160*K152</f>
        <v>2.0291596554250142</v>
      </c>
      <c r="L161" s="35" t="s">
        <v>4</v>
      </c>
      <c r="M161" s="30"/>
      <c r="Q161" s="30"/>
    </row>
    <row r="162" spans="1:17" s="33" customFormat="1" ht="15.6">
      <c r="A162" s="30"/>
      <c r="B162" s="30"/>
      <c r="C162" s="30"/>
      <c r="D162" s="30"/>
      <c r="E162" s="30"/>
      <c r="I162" s="30"/>
      <c r="J162" s="34" t="s">
        <v>152</v>
      </c>
      <c r="K162" s="34">
        <f>15.75*10^-6*RTOP - (15.75*10^-6*RTOP - 1)*EXP(-2.05*10^-3/(RTOP*Ctop))</f>
        <v>1.7202456147418093</v>
      </c>
      <c r="L162" s="35" t="s">
        <v>4</v>
      </c>
      <c r="M162" s="30"/>
      <c r="Q162" s="30"/>
    </row>
    <row r="163" spans="1:17" s="33" customFormat="1">
      <c r="A163" s="30"/>
      <c r="B163" s="30"/>
      <c r="C163" s="30"/>
      <c r="D163" s="30"/>
      <c r="E163" s="30"/>
      <c r="I163" s="30"/>
      <c r="J163" s="30"/>
      <c r="K163" s="30"/>
      <c r="L163" s="30"/>
      <c r="M163" s="30"/>
      <c r="Q163" s="30"/>
    </row>
    <row r="164" spans="1:17" s="33" customFormat="1">
      <c r="A164" s="30"/>
      <c r="B164" s="30"/>
      <c r="C164" s="30"/>
      <c r="D164" s="30"/>
      <c r="E164" s="30"/>
      <c r="I164" s="30"/>
      <c r="J164" s="30"/>
      <c r="K164" s="30"/>
      <c r="L164" s="30"/>
      <c r="M164" s="30"/>
      <c r="Q164" s="30"/>
    </row>
    <row r="165" spans="1:17" s="33" customFormat="1">
      <c r="A165" s="30"/>
      <c r="B165" s="30"/>
      <c r="C165" s="30"/>
      <c r="D165" s="30"/>
      <c r="E165" s="30"/>
      <c r="I165" s="30"/>
      <c r="M165" s="30"/>
      <c r="Q165" s="30"/>
    </row>
    <row r="166" spans="1:17" s="33" customFormat="1">
      <c r="A166" s="30"/>
      <c r="B166" s="30"/>
      <c r="C166" s="30"/>
      <c r="D166" s="30"/>
      <c r="E166" s="30"/>
      <c r="I166" s="30"/>
      <c r="M166" s="30"/>
      <c r="Q166" s="30"/>
    </row>
    <row r="167" spans="1:17" s="33" customFormat="1">
      <c r="A167" s="30"/>
      <c r="B167" s="30"/>
      <c r="C167" s="30"/>
      <c r="D167" s="30"/>
      <c r="E167" s="30"/>
      <c r="I167" s="30"/>
      <c r="M167" s="30"/>
      <c r="Q167" s="30"/>
    </row>
    <row r="168" spans="1:17" s="33" customFormat="1">
      <c r="A168" s="30"/>
      <c r="B168" s="30"/>
      <c r="C168" s="30"/>
      <c r="D168" s="30"/>
      <c r="E168" s="30"/>
      <c r="I168" s="30"/>
      <c r="M168" s="30"/>
      <c r="Q168" s="30"/>
    </row>
    <row r="169" spans="1:17" s="33" customFormat="1"/>
    <row r="170" spans="1:17" s="33" customFormat="1"/>
    <row r="171" spans="1:17" s="33" customFormat="1"/>
    <row r="172" spans="1:17" s="33" customFormat="1"/>
    <row r="173" spans="1:17" s="33" customFormat="1"/>
    <row r="174" spans="1:17" s="33" customFormat="1"/>
    <row r="175" spans="1:17" s="33" customFormat="1"/>
    <row r="176" spans="1:17"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sheetData>
  <sheetProtection password="E642" sheet="1" objects="1" scenarios="1" selectLockedCells="1"/>
  <mergeCells count="38">
    <mergeCell ref="B21:D24"/>
    <mergeCell ref="B26:D26"/>
    <mergeCell ref="F26:H26"/>
    <mergeCell ref="J26:L26"/>
    <mergeCell ref="N26:P26"/>
    <mergeCell ref="N30:P30"/>
    <mergeCell ref="J35:L35"/>
    <mergeCell ref="B36:D36"/>
    <mergeCell ref="J38:L38"/>
    <mergeCell ref="B42:D42"/>
    <mergeCell ref="N42:P42"/>
    <mergeCell ref="B43:D43"/>
    <mergeCell ref="F37:H37"/>
    <mergeCell ref="J46:L46"/>
    <mergeCell ref="J100:L100"/>
    <mergeCell ref="B100:D100"/>
    <mergeCell ref="F100:H100"/>
    <mergeCell ref="N100:P100"/>
    <mergeCell ref="F106:H106"/>
    <mergeCell ref="B109:D109"/>
    <mergeCell ref="F109:H109"/>
    <mergeCell ref="N106:P106"/>
    <mergeCell ref="F111:H111"/>
    <mergeCell ref="J113:L113"/>
    <mergeCell ref="F113:H113"/>
    <mergeCell ref="J116:L116"/>
    <mergeCell ref="F118:H118"/>
    <mergeCell ref="F120:H120"/>
    <mergeCell ref="J144:L144"/>
    <mergeCell ref="N117:P117"/>
    <mergeCell ref="J123:L123"/>
    <mergeCell ref="F126:H126"/>
    <mergeCell ref="N125:P125"/>
    <mergeCell ref="J150:L150"/>
    <mergeCell ref="J156:L156"/>
    <mergeCell ref="N122:P122"/>
    <mergeCell ref="J129:L129"/>
    <mergeCell ref="J135:L135"/>
  </mergeCells>
  <phoneticPr fontId="1" type="noConversion"/>
  <pageMargins left="0.7" right="0.7" top="0.75" bottom="0.75" header="0.3" footer="0.3"/>
  <pageSetup paperSize="9" orientation="portrait" r:id="rId1"/>
  <legacyDrawing r:id="rId2"/>
  <oleObjects>
    <oleObject progId="Visio.Drawing.11" shapeId="2116" r:id="rId3"/>
    <oleObject progId="Visio.Drawing.11" shapeId="2137" r:id="rId4"/>
  </oleObjects>
</worksheet>
</file>

<file path=xl/worksheets/sheet4.xml><?xml version="1.0" encoding="utf-8"?>
<worksheet xmlns="http://schemas.openxmlformats.org/spreadsheetml/2006/main" xmlns:r="http://schemas.openxmlformats.org/officeDocument/2006/relationships">
  <dimension ref="A15:V239"/>
  <sheetViews>
    <sheetView tabSelected="1" zoomScale="70" zoomScaleNormal="70" workbookViewId="0">
      <selection activeCell="K27" sqref="K27"/>
    </sheetView>
  </sheetViews>
  <sheetFormatPr defaultColWidth="9" defaultRowHeight="14.4"/>
  <cols>
    <col min="1" max="1" width="9" style="7"/>
    <col min="2" max="2" width="20.33203125" style="7" customWidth="1"/>
    <col min="3" max="3" width="11.44140625" style="7" bestFit="1" customWidth="1"/>
    <col min="4" max="4" width="9" style="7"/>
    <col min="5" max="5" width="8.33203125" style="7" customWidth="1"/>
    <col min="6" max="6" width="20.6640625" style="7" customWidth="1"/>
    <col min="7" max="7" width="11.21875" style="7" customWidth="1"/>
    <col min="8" max="8" width="9" style="7"/>
    <col min="9" max="9" width="9.44140625" style="7" customWidth="1"/>
    <col min="10" max="10" width="20.21875" style="7" bestFit="1" customWidth="1"/>
    <col min="11" max="11" width="12.33203125" style="7" customWidth="1"/>
    <col min="12" max="13" width="9" style="7"/>
    <col min="14" max="14" width="20.77734375" style="7" customWidth="1"/>
    <col min="15" max="15" width="11.33203125" style="7" customWidth="1"/>
    <col min="16" max="17" width="9" style="7"/>
    <col min="18" max="18" width="23.33203125" style="7" bestFit="1" customWidth="1"/>
    <col min="19" max="19" width="11.88671875" style="7" bestFit="1" customWidth="1"/>
    <col min="20" max="21" width="9.21875" style="7" customWidth="1"/>
    <col min="22" max="22" width="9.88671875" style="7" customWidth="1"/>
    <col min="23" max="23" width="9.77734375" style="7" customWidth="1"/>
    <col min="24" max="25" width="9.109375" style="7" customWidth="1"/>
    <col min="26" max="26" width="9" style="7" customWidth="1"/>
    <col min="27" max="28" width="9.21875" style="7" customWidth="1"/>
    <col min="29" max="16384" width="9" style="7"/>
  </cols>
  <sheetData>
    <row r="15" ht="17.25" customHeight="1"/>
    <row r="16" ht="17.25" customHeight="1"/>
    <row r="17" spans="2:20" ht="17.25" customHeight="1"/>
    <row r="18" spans="2:20" ht="16.5" customHeight="1"/>
    <row r="19" spans="2:20" ht="16.5" customHeight="1"/>
    <row r="20" spans="2:20" ht="16.5" customHeight="1"/>
    <row r="21" spans="2:20">
      <c r="B21" s="80" t="s">
        <v>293</v>
      </c>
      <c r="C21" s="81"/>
      <c r="D21" s="82"/>
    </row>
    <row r="22" spans="2:20">
      <c r="B22" s="83"/>
      <c r="C22" s="84"/>
      <c r="D22" s="85"/>
    </row>
    <row r="23" spans="2:20">
      <c r="B23" s="83"/>
      <c r="C23" s="84"/>
      <c r="D23" s="85"/>
    </row>
    <row r="24" spans="2:20">
      <c r="B24" s="86"/>
      <c r="C24" s="87"/>
      <c r="D24" s="88"/>
    </row>
    <row r="26" spans="2:20" ht="15.6">
      <c r="B26" s="67" t="s">
        <v>254</v>
      </c>
      <c r="C26" s="67"/>
      <c r="D26" s="67"/>
      <c r="E26" s="14"/>
      <c r="F26" s="67" t="s">
        <v>43</v>
      </c>
      <c r="G26" s="67"/>
      <c r="H26" s="67"/>
      <c r="J26" s="67" t="s">
        <v>76</v>
      </c>
      <c r="K26" s="67"/>
      <c r="L26" s="67"/>
      <c r="N26" s="67" t="s">
        <v>44</v>
      </c>
      <c r="O26" s="67"/>
      <c r="P26" s="67"/>
      <c r="R26" s="67" t="s">
        <v>154</v>
      </c>
      <c r="S26" s="67"/>
      <c r="T26" s="67"/>
    </row>
    <row r="27" spans="2:20" ht="15.6">
      <c r="B27" s="2" t="s">
        <v>45</v>
      </c>
      <c r="C27" s="41">
        <v>108</v>
      </c>
      <c r="D27" s="2" t="s">
        <v>4</v>
      </c>
      <c r="E27" s="15"/>
      <c r="F27" s="2" t="s">
        <v>46</v>
      </c>
      <c r="G27" s="43">
        <v>30</v>
      </c>
      <c r="H27" s="2" t="s">
        <v>47</v>
      </c>
      <c r="J27" s="2" t="s">
        <v>179</v>
      </c>
      <c r="K27" s="44">
        <v>0.8</v>
      </c>
      <c r="L27" s="2" t="s">
        <v>4</v>
      </c>
      <c r="N27" s="16" t="s">
        <v>304</v>
      </c>
      <c r="O27" s="5">
        <f>Rvin1*10^-6</f>
        <v>0.62</v>
      </c>
      <c r="P27" s="17" t="s">
        <v>48</v>
      </c>
      <c r="R27" s="2" t="s">
        <v>234</v>
      </c>
      <c r="S27" s="41">
        <v>500</v>
      </c>
      <c r="T27" s="4" t="s">
        <v>6</v>
      </c>
    </row>
    <row r="28" spans="2:20" ht="15.6">
      <c r="B28" s="2" t="s">
        <v>49</v>
      </c>
      <c r="C28" s="41">
        <v>120</v>
      </c>
      <c r="D28" s="2" t="s">
        <v>4</v>
      </c>
      <c r="F28" s="2" t="s">
        <v>50</v>
      </c>
      <c r="G28" s="41">
        <v>62</v>
      </c>
      <c r="H28" s="2" t="s">
        <v>51</v>
      </c>
      <c r="J28" s="16" t="s">
        <v>153</v>
      </c>
      <c r="K28" s="18">
        <f>Ipk_max_final*RCS</f>
        <v>0.79284353112107675</v>
      </c>
      <c r="L28" s="17" t="s">
        <v>4</v>
      </c>
      <c r="N28" s="16" t="s">
        <v>52</v>
      </c>
      <c r="O28" s="3">
        <f>Rvin2*10^-3</f>
        <v>68.120449007263517</v>
      </c>
      <c r="P28" s="17" t="s">
        <v>53</v>
      </c>
      <c r="R28" s="16" t="s">
        <v>241</v>
      </c>
      <c r="S28" s="19">
        <f>Vsn/Rsn*1000</f>
        <v>54.896768935687412</v>
      </c>
      <c r="T28" s="17" t="s">
        <v>69</v>
      </c>
    </row>
    <row r="29" spans="2:20" ht="15.6">
      <c r="B29" s="2" t="s">
        <v>54</v>
      </c>
      <c r="C29" s="41">
        <v>132</v>
      </c>
      <c r="D29" s="2" t="s">
        <v>4</v>
      </c>
      <c r="E29" s="15"/>
      <c r="F29" s="16" t="s">
        <v>55</v>
      </c>
      <c r="G29" s="19">
        <f>G119*10^6</f>
        <v>4.8387096774193541</v>
      </c>
      <c r="H29" s="17" t="s">
        <v>56</v>
      </c>
      <c r="J29" s="16" t="s">
        <v>77</v>
      </c>
      <c r="K29" s="20">
        <f>0.5*Nps/(KEAI*Rated_Iout)</f>
        <v>0.13408261855466824</v>
      </c>
      <c r="L29" s="17" t="s">
        <v>6</v>
      </c>
      <c r="N29" s="16" t="s">
        <v>261</v>
      </c>
      <c r="O29" s="3">
        <v>100</v>
      </c>
      <c r="P29" s="17" t="s">
        <v>262</v>
      </c>
      <c r="R29" s="2" t="s">
        <v>242</v>
      </c>
      <c r="S29" s="43">
        <v>0.5</v>
      </c>
      <c r="T29" s="2" t="s">
        <v>69</v>
      </c>
    </row>
    <row r="30" spans="2:20" ht="15.6">
      <c r="B30" s="2" t="s">
        <v>57</v>
      </c>
      <c r="C30" s="41">
        <v>60</v>
      </c>
      <c r="D30" s="2" t="s">
        <v>5</v>
      </c>
      <c r="F30" s="2" t="s">
        <v>29</v>
      </c>
      <c r="G30" s="41">
        <v>36</v>
      </c>
      <c r="H30" s="2" t="s">
        <v>58</v>
      </c>
      <c r="J30" s="2" t="s">
        <v>225</v>
      </c>
      <c r="K30" s="41">
        <v>70</v>
      </c>
      <c r="L30" s="2" t="s">
        <v>224</v>
      </c>
      <c r="N30" s="67" t="s">
        <v>192</v>
      </c>
      <c r="O30" s="67"/>
      <c r="P30" s="67"/>
      <c r="R30" s="16" t="s">
        <v>236</v>
      </c>
      <c r="S30" s="3">
        <f>R.DP2*0.001</f>
        <v>240</v>
      </c>
      <c r="T30" s="17" t="s">
        <v>53</v>
      </c>
    </row>
    <row r="31" spans="2:20" ht="15.6">
      <c r="B31" s="2" t="s">
        <v>60</v>
      </c>
      <c r="C31" s="41">
        <v>21</v>
      </c>
      <c r="D31" s="2" t="s">
        <v>4</v>
      </c>
      <c r="E31" s="15"/>
      <c r="F31" s="2" t="s">
        <v>61</v>
      </c>
      <c r="G31" s="44">
        <v>0.3</v>
      </c>
      <c r="H31" s="2"/>
      <c r="J31" s="16" t="s">
        <v>229</v>
      </c>
      <c r="K31" s="3">
        <f>IF(Vcs.pk.ini&gt;0.15,IF(Rcomp.total-Rcomp.int&gt;0,Rcomp.total-Rcomp.int,0),IF(Rcomp.total-Rcomp.int&gt;50,Rcomp.total-Rcomp.int,50))</f>
        <v>171.61194153369263</v>
      </c>
      <c r="L31" s="17" t="s">
        <v>6</v>
      </c>
      <c r="N31" s="2" t="s">
        <v>97</v>
      </c>
      <c r="O31" s="41">
        <v>500</v>
      </c>
      <c r="P31" s="2" t="s">
        <v>66</v>
      </c>
      <c r="R31" s="16" t="s">
        <v>232</v>
      </c>
      <c r="S31" s="3">
        <f>S116*0.001</f>
        <v>45.714285714285708</v>
      </c>
      <c r="T31" s="17" t="s">
        <v>53</v>
      </c>
    </row>
    <row r="32" spans="2:20" ht="15.6">
      <c r="B32" s="2" t="s">
        <v>62</v>
      </c>
      <c r="C32" s="41">
        <v>47</v>
      </c>
      <c r="D32" s="2" t="s">
        <v>4</v>
      </c>
      <c r="E32" s="15"/>
      <c r="F32" s="16" t="s">
        <v>63</v>
      </c>
      <c r="G32" s="5">
        <f>G117*1000</f>
        <v>0.12498368187357302</v>
      </c>
      <c r="H32" s="17" t="s">
        <v>64</v>
      </c>
      <c r="J32" s="2" t="s">
        <v>78</v>
      </c>
      <c r="K32" s="43">
        <v>1</v>
      </c>
      <c r="L32" s="2" t="s">
        <v>79</v>
      </c>
      <c r="N32" s="2" t="s">
        <v>80</v>
      </c>
      <c r="O32" s="41">
        <v>500</v>
      </c>
      <c r="P32" s="2" t="s">
        <v>66</v>
      </c>
      <c r="R32" s="16" t="s">
        <v>233</v>
      </c>
      <c r="S32" s="3">
        <v>1</v>
      </c>
      <c r="T32" s="17" t="s">
        <v>53</v>
      </c>
    </row>
    <row r="33" spans="1:20" ht="15.6">
      <c r="B33" s="2" t="s">
        <v>67</v>
      </c>
      <c r="C33" s="41">
        <v>55</v>
      </c>
      <c r="D33" s="2" t="s">
        <v>4</v>
      </c>
      <c r="E33" s="15"/>
      <c r="F33" s="16" t="s">
        <v>72</v>
      </c>
      <c r="G33" s="19">
        <f>Ipk_max_final*Lm/Ae/BMAX</f>
        <v>68.429688501923962</v>
      </c>
      <c r="H33" s="17" t="s">
        <v>73</v>
      </c>
      <c r="J33" s="16" t="s">
        <v>81</v>
      </c>
      <c r="K33" s="3">
        <f>Rvs1_*0.001</f>
        <v>196.87979853817336</v>
      </c>
      <c r="L33" s="17" t="s">
        <v>53</v>
      </c>
      <c r="N33" s="2" t="s">
        <v>309</v>
      </c>
      <c r="O33" s="41">
        <v>1</v>
      </c>
      <c r="P33" s="2" t="s">
        <v>53</v>
      </c>
      <c r="R33" s="16" t="s">
        <v>237</v>
      </c>
      <c r="S33" s="3">
        <f>Iin.pk*2*1000</f>
        <v>1773.9291035649444</v>
      </c>
      <c r="T33" s="17" t="s">
        <v>69</v>
      </c>
    </row>
    <row r="34" spans="1:20" ht="15.6">
      <c r="B34" s="2" t="s">
        <v>68</v>
      </c>
      <c r="C34" s="41">
        <v>1225</v>
      </c>
      <c r="D34" s="2" t="s">
        <v>69</v>
      </c>
      <c r="F34" s="2" t="s">
        <v>173</v>
      </c>
      <c r="G34" s="41">
        <v>68</v>
      </c>
      <c r="H34" s="2" t="s">
        <v>73</v>
      </c>
      <c r="J34" s="16" t="s">
        <v>82</v>
      </c>
      <c r="K34" s="3">
        <f>Rvs2_*0.001</f>
        <v>26.123857355599</v>
      </c>
      <c r="L34" s="17" t="s">
        <v>53</v>
      </c>
      <c r="N34" s="16" t="s">
        <v>318</v>
      </c>
      <c r="O34" s="3">
        <f>RRIVC</f>
        <v>12.852157472145636</v>
      </c>
      <c r="P34" s="17" t="s">
        <v>6</v>
      </c>
      <c r="R34" s="2" t="s">
        <v>238</v>
      </c>
      <c r="S34" s="41">
        <v>135</v>
      </c>
      <c r="T34" s="2" t="s">
        <v>69</v>
      </c>
    </row>
    <row r="35" spans="1:20" ht="15.6">
      <c r="A35" s="21"/>
      <c r="B35" s="16" t="s">
        <v>70</v>
      </c>
      <c r="C35" s="5">
        <f>Rated_Iout*Rated_Vout</f>
        <v>57.575000000000003</v>
      </c>
      <c r="D35" s="16" t="s">
        <v>22</v>
      </c>
      <c r="F35" s="16" t="s">
        <v>174</v>
      </c>
      <c r="G35" s="19">
        <f>Np/Nps_i</f>
        <v>44.597448625560567</v>
      </c>
      <c r="H35" s="17" t="s">
        <v>73</v>
      </c>
      <c r="J35" s="2" t="s">
        <v>306</v>
      </c>
      <c r="K35" s="41">
        <v>10</v>
      </c>
      <c r="L35" s="2" t="s">
        <v>262</v>
      </c>
      <c r="M35" s="22"/>
      <c r="N35" s="2" t="s">
        <v>319</v>
      </c>
      <c r="O35" s="41">
        <v>30</v>
      </c>
      <c r="P35" s="2" t="s">
        <v>6</v>
      </c>
      <c r="Q35" s="22"/>
      <c r="R35" s="16" t="s">
        <v>264</v>
      </c>
      <c r="S35" s="3">
        <f>(6.2-3)/I.DP.MAX</f>
        <v>23.703703703703702</v>
      </c>
      <c r="T35" s="17" t="s">
        <v>6</v>
      </c>
    </row>
    <row r="36" spans="1:20" ht="15.6">
      <c r="A36" s="21"/>
      <c r="B36" s="67" t="s">
        <v>71</v>
      </c>
      <c r="C36" s="67"/>
      <c r="D36" s="67"/>
      <c r="E36" s="15"/>
      <c r="F36" s="2" t="s">
        <v>175</v>
      </c>
      <c r="G36" s="41">
        <v>45</v>
      </c>
      <c r="H36" s="2" t="s">
        <v>73</v>
      </c>
      <c r="J36" s="67" t="s">
        <v>74</v>
      </c>
      <c r="K36" s="67"/>
      <c r="L36" s="67"/>
      <c r="M36" s="22"/>
      <c r="N36" s="16" t="s">
        <v>307</v>
      </c>
      <c r="O36" s="3">
        <f>5/RRBLD.F*1000</f>
        <v>166.66666666666666</v>
      </c>
      <c r="P36" s="17" t="s">
        <v>69</v>
      </c>
      <c r="Q36" s="22"/>
      <c r="R36" s="2" t="s">
        <v>250</v>
      </c>
      <c r="S36" s="43">
        <v>10</v>
      </c>
      <c r="T36" s="4" t="s">
        <v>66</v>
      </c>
    </row>
    <row r="37" spans="1:20" ht="15.6">
      <c r="A37" s="21"/>
      <c r="B37" s="2" t="s">
        <v>303</v>
      </c>
      <c r="C37" s="41">
        <v>130</v>
      </c>
      <c r="D37" s="4" t="s">
        <v>75</v>
      </c>
      <c r="E37" s="15"/>
      <c r="F37" s="16" t="s">
        <v>177</v>
      </c>
      <c r="G37" s="19">
        <f>Np*Nap_i</f>
        <v>20.271567557072984</v>
      </c>
      <c r="H37" s="17" t="s">
        <v>73</v>
      </c>
      <c r="J37" s="16" t="s">
        <v>269</v>
      </c>
      <c r="K37" s="3">
        <f>RHOLD*0.001</f>
        <v>17.437444543034601</v>
      </c>
      <c r="L37" s="17" t="s">
        <v>53</v>
      </c>
      <c r="N37" s="2" t="s">
        <v>195</v>
      </c>
      <c r="O37" s="41">
        <v>160</v>
      </c>
      <c r="P37" s="2" t="s">
        <v>69</v>
      </c>
      <c r="R37" s="2" t="s">
        <v>247</v>
      </c>
      <c r="S37" s="41">
        <v>55</v>
      </c>
      <c r="T37" s="2" t="s">
        <v>4</v>
      </c>
    </row>
    <row r="38" spans="1:20" ht="15.6">
      <c r="A38" s="21"/>
      <c r="B38" s="16" t="s">
        <v>298</v>
      </c>
      <c r="C38" s="3">
        <f>C122*1000</f>
        <v>254.66391172933146</v>
      </c>
      <c r="D38" s="1" t="s">
        <v>69</v>
      </c>
      <c r="E38" s="15"/>
      <c r="F38" s="2" t="s">
        <v>178</v>
      </c>
      <c r="G38" s="41">
        <v>20</v>
      </c>
      <c r="H38" s="2" t="s">
        <v>73</v>
      </c>
      <c r="J38" s="2" t="s">
        <v>184</v>
      </c>
      <c r="K38" s="43">
        <v>1</v>
      </c>
      <c r="L38" s="2" t="s">
        <v>66</v>
      </c>
      <c r="N38" s="16" t="s">
        <v>196</v>
      </c>
      <c r="O38" s="3">
        <f>RRBLD.F*Imax.ivc/40/10^-3</f>
        <v>120</v>
      </c>
      <c r="P38" s="17" t="s">
        <v>53</v>
      </c>
      <c r="R38" s="49" t="s">
        <v>451</v>
      </c>
      <c r="S38" s="41">
        <v>30</v>
      </c>
      <c r="T38" s="2" t="s">
        <v>4</v>
      </c>
    </row>
    <row r="39" spans="1:20" ht="15.6">
      <c r="A39" s="21"/>
      <c r="B39" s="2" t="s">
        <v>253</v>
      </c>
      <c r="C39" s="42">
        <v>255</v>
      </c>
      <c r="D39" s="2" t="s">
        <v>69</v>
      </c>
      <c r="F39" s="2" t="s">
        <v>300</v>
      </c>
      <c r="G39" s="43">
        <v>4</v>
      </c>
      <c r="H39" s="2" t="s">
        <v>201</v>
      </c>
      <c r="J39" s="67" t="s">
        <v>191</v>
      </c>
      <c r="K39" s="67"/>
      <c r="L39" s="67"/>
      <c r="N39" s="16" t="s">
        <v>197</v>
      </c>
      <c r="O39" s="3">
        <f>13/Imax.ivc-RRBLD.F</f>
        <v>51.25</v>
      </c>
      <c r="P39" s="17" t="s">
        <v>6</v>
      </c>
      <c r="R39" s="16" t="s">
        <v>243</v>
      </c>
      <c r="S39" s="19">
        <v>6.2</v>
      </c>
      <c r="T39" s="17" t="s">
        <v>4</v>
      </c>
    </row>
    <row r="40" spans="1:20" ht="15.6">
      <c r="A40" s="21"/>
      <c r="F40" s="67" t="s">
        <v>180</v>
      </c>
      <c r="G40" s="67"/>
      <c r="H40" s="67"/>
      <c r="J40" s="16" t="s">
        <v>188</v>
      </c>
      <c r="K40" s="3" t="s">
        <v>123</v>
      </c>
      <c r="L40" s="17"/>
      <c r="N40" s="16" t="s">
        <v>263</v>
      </c>
      <c r="O40" s="3">
        <f>IF(Rated_Vin&gt;170, 100, 50)</f>
        <v>50</v>
      </c>
      <c r="P40" s="17" t="s">
        <v>6</v>
      </c>
    </row>
    <row r="41" spans="1:20" ht="15.6">
      <c r="A41" s="21"/>
      <c r="E41" s="15"/>
      <c r="F41" s="2" t="s">
        <v>208</v>
      </c>
      <c r="G41" s="45">
        <v>150</v>
      </c>
      <c r="H41" s="2" t="s">
        <v>4</v>
      </c>
      <c r="J41" s="67" t="s">
        <v>59</v>
      </c>
      <c r="K41" s="67"/>
      <c r="L41" s="67"/>
      <c r="N41" s="2" t="s">
        <v>311</v>
      </c>
      <c r="O41" s="41">
        <v>68</v>
      </c>
      <c r="P41" s="2" t="s">
        <v>66</v>
      </c>
    </row>
    <row r="42" spans="1:20" ht="15.6">
      <c r="A42" s="23"/>
      <c r="B42" s="78" t="s">
        <v>257</v>
      </c>
      <c r="C42" s="78"/>
      <c r="D42" s="78"/>
      <c r="E42" s="15"/>
      <c r="F42" s="4" t="s">
        <v>209</v>
      </c>
      <c r="G42" s="45">
        <v>10</v>
      </c>
      <c r="H42" s="2" t="s">
        <v>4</v>
      </c>
      <c r="J42" s="16" t="s">
        <v>95</v>
      </c>
      <c r="K42" s="3">
        <f>Rdim1*0.001</f>
        <v>92.501030646372271</v>
      </c>
      <c r="L42" s="17" t="s">
        <v>53</v>
      </c>
      <c r="N42" s="16" t="s">
        <v>310</v>
      </c>
      <c r="O42" s="3">
        <f>IF(Vcs.pk.ini&lt;0.15, IF( (O38*0.04)/(0.15-Vcs.pk.ini)*Rcomp*0.001 &gt; 100, 100, (O38*0.04)/(0.15-Vcs.pk.ini)*Rcomp*0.001 ), "open")</f>
        <v>5.1624976122480888</v>
      </c>
      <c r="P42" s="17" t="s">
        <v>317</v>
      </c>
    </row>
    <row r="43" spans="1:20" ht="15.6">
      <c r="A43" s="23"/>
      <c r="B43" s="79" t="s">
        <v>258</v>
      </c>
      <c r="C43" s="79"/>
      <c r="D43" s="79"/>
      <c r="E43" s="23"/>
      <c r="F43" s="1" t="s">
        <v>255</v>
      </c>
      <c r="G43" s="3">
        <f>Rsn/1000</f>
        <v>2.7324012488918572</v>
      </c>
      <c r="H43" s="1" t="s">
        <v>182</v>
      </c>
      <c r="J43" s="16" t="s">
        <v>96</v>
      </c>
      <c r="K43" s="3">
        <f>Rdim2*0.001</f>
        <v>21.729738584396966</v>
      </c>
      <c r="L43" s="17" t="s">
        <v>53</v>
      </c>
      <c r="N43" s="67" t="s">
        <v>193</v>
      </c>
      <c r="O43" s="67"/>
      <c r="P43" s="67"/>
    </row>
    <row r="44" spans="1:20" ht="15.6">
      <c r="A44" s="23"/>
      <c r="F44" s="1" t="s">
        <v>256</v>
      </c>
      <c r="G44" s="3">
        <f>G145*0.001</f>
        <v>2.7575167226815074</v>
      </c>
      <c r="H44" s="1" t="s">
        <v>182</v>
      </c>
      <c r="J44" s="16" t="s">
        <v>65</v>
      </c>
      <c r="K44" s="3">
        <f>K145*10^9</f>
        <v>437.71043771043776</v>
      </c>
      <c r="L44" s="17" t="s">
        <v>66</v>
      </c>
      <c r="M44" s="24"/>
      <c r="N44" s="16" t="s">
        <v>198</v>
      </c>
      <c r="O44" s="5">
        <f>O27</f>
        <v>0.62</v>
      </c>
      <c r="P44" s="17" t="s">
        <v>48</v>
      </c>
      <c r="Q44" s="24"/>
    </row>
    <row r="45" spans="1:20" ht="15.6">
      <c r="A45" s="23"/>
      <c r="F45" s="1" t="s">
        <v>210</v>
      </c>
      <c r="G45" s="3">
        <f>Csn*10^9</f>
        <v>88.543175702721641</v>
      </c>
      <c r="H45" s="1" t="s">
        <v>66</v>
      </c>
      <c r="M45" s="24"/>
      <c r="N45" s="16" t="s">
        <v>199</v>
      </c>
      <c r="O45" s="3">
        <v>1</v>
      </c>
      <c r="P45" s="17" t="s">
        <v>53</v>
      </c>
      <c r="Q45" s="24"/>
    </row>
    <row r="46" spans="1:20" ht="15.6">
      <c r="A46" s="23"/>
      <c r="F46" s="67" t="s">
        <v>207</v>
      </c>
      <c r="G46" s="67"/>
      <c r="H46" s="67"/>
      <c r="M46" s="24"/>
      <c r="N46" s="16" t="s">
        <v>200</v>
      </c>
      <c r="O46" s="19">
        <v>6.8</v>
      </c>
      <c r="P46" s="17" t="s">
        <v>66</v>
      </c>
      <c r="Q46" s="24"/>
    </row>
    <row r="47" spans="1:20" ht="15.6">
      <c r="A47" s="23"/>
      <c r="F47" s="1" t="s">
        <v>213</v>
      </c>
      <c r="G47" s="3">
        <f>peak_Vin_max+Vsn</f>
        <v>336.67619023324858</v>
      </c>
      <c r="H47" s="1" t="s">
        <v>4</v>
      </c>
      <c r="R47" s="25"/>
      <c r="S47" s="25"/>
      <c r="T47" s="26"/>
    </row>
    <row r="48" spans="1:20" ht="15">
      <c r="A48" s="23"/>
      <c r="F48" s="1" t="s">
        <v>214</v>
      </c>
      <c r="G48" s="5">
        <f>Ipk_max_final</f>
        <v>5.9130970118831483</v>
      </c>
      <c r="H48" s="1" t="s">
        <v>7</v>
      </c>
    </row>
    <row r="49" spans="1:17" ht="15">
      <c r="A49" s="23"/>
      <c r="F49" s="1" t="s">
        <v>215</v>
      </c>
      <c r="G49" s="5">
        <f>Isw.rms</f>
        <v>1.190406054821902</v>
      </c>
      <c r="H49" s="1" t="s">
        <v>7</v>
      </c>
      <c r="Q49" s="22"/>
    </row>
    <row r="50" spans="1:17" ht="15">
      <c r="A50" s="23"/>
      <c r="F50" s="1" t="s">
        <v>216</v>
      </c>
      <c r="G50" s="3">
        <f>Max_Vout+peak_Vin_max/Nps</f>
        <v>178.53571412494389</v>
      </c>
      <c r="H50" s="1" t="s">
        <v>4</v>
      </c>
      <c r="Q50" s="22"/>
    </row>
    <row r="51" spans="1:17" ht="15">
      <c r="A51" s="23"/>
      <c r="F51" s="1" t="s">
        <v>217</v>
      </c>
      <c r="G51" s="5">
        <f>Ipk_max_final*Nps</f>
        <v>8.9353465957345346</v>
      </c>
      <c r="H51" s="1" t="s">
        <v>7</v>
      </c>
      <c r="Q51" s="22"/>
    </row>
    <row r="52" spans="1:17" ht="15">
      <c r="A52" s="23"/>
      <c r="F52" s="1" t="s">
        <v>218</v>
      </c>
      <c r="G52" s="5">
        <f>Rated_Iout</f>
        <v>1.2250000000000001</v>
      </c>
      <c r="H52" s="1" t="s">
        <v>7</v>
      </c>
    </row>
    <row r="54" spans="1:17" s="31" customFormat="1"/>
    <row r="55" spans="1:17" s="31" customFormat="1"/>
    <row r="56" spans="1:17" s="31" customFormat="1"/>
    <row r="57" spans="1:17" s="31" customFormat="1"/>
    <row r="58" spans="1:17" s="31" customFormat="1"/>
    <row r="59" spans="1:17" s="31" customFormat="1"/>
    <row r="60" spans="1:17" s="31" customFormat="1"/>
    <row r="61" spans="1:17" s="31" customFormat="1"/>
    <row r="62" spans="1:17" s="31" customFormat="1"/>
    <row r="63" spans="1:17" s="31" customFormat="1"/>
    <row r="64" spans="1:17" s="31" customFormat="1"/>
    <row r="65" s="31" customFormat="1"/>
    <row r="66" s="31" customFormat="1"/>
    <row r="67" s="31" customFormat="1"/>
    <row r="68" s="31" customFormat="1"/>
    <row r="69" s="31" customFormat="1"/>
    <row r="70" s="31" customFormat="1"/>
    <row r="71" s="31" customFormat="1"/>
    <row r="72" s="31" customFormat="1"/>
    <row r="73" s="31" customFormat="1"/>
    <row r="74" s="31" customFormat="1"/>
    <row r="75" s="31" customFormat="1"/>
    <row r="76" s="31" customFormat="1"/>
    <row r="77" s="31" customFormat="1"/>
    <row r="78" s="31" customFormat="1"/>
    <row r="79" s="31" customFormat="1"/>
    <row r="80" s="31" customFormat="1"/>
    <row r="81" s="31" customFormat="1"/>
    <row r="82" s="31" customFormat="1"/>
    <row r="83" s="31" customFormat="1"/>
    <row r="84" s="31" customFormat="1"/>
    <row r="85" s="31" customFormat="1"/>
    <row r="86" s="31" customFormat="1"/>
    <row r="87" s="31" customFormat="1"/>
    <row r="88" s="31" customFormat="1"/>
    <row r="89" s="31" customFormat="1"/>
    <row r="90" s="31" customFormat="1"/>
    <row r="91" s="31" customFormat="1"/>
    <row r="92" s="31" customFormat="1"/>
    <row r="93" s="31" customFormat="1"/>
    <row r="94" s="31" customFormat="1"/>
    <row r="95" s="31" customFormat="1"/>
    <row r="96" s="31" customFormat="1"/>
    <row r="97" spans="1:20" s="31" customFormat="1"/>
    <row r="98" spans="1:20" s="31" customFormat="1"/>
    <row r="99" spans="1:20" s="31" customFormat="1"/>
    <row r="100" spans="1:20" s="31" customFormat="1"/>
    <row r="101" spans="1:20" s="31" customFormat="1"/>
    <row r="102" spans="1:20" s="31" customFormat="1"/>
    <row r="103" spans="1:20" s="31" customFormat="1"/>
    <row r="104" spans="1:20" s="31" customFormat="1"/>
    <row r="105" spans="1:20" s="31" customFormat="1"/>
    <row r="106" spans="1:20" s="31" customFormat="1"/>
    <row r="107" spans="1:20" s="31" customFormat="1"/>
    <row r="108" spans="1:20" s="31" customFormat="1"/>
    <row r="109" spans="1:20" s="31" customFormat="1"/>
    <row r="110" spans="1:20" s="31" customFormat="1"/>
    <row r="111" spans="1:20" s="31" customFormat="1">
      <c r="A111" s="32"/>
    </row>
    <row r="112" spans="1:20" s="33" customFormat="1">
      <c r="A112" s="27"/>
      <c r="B112" s="77" t="s">
        <v>0</v>
      </c>
      <c r="C112" s="66"/>
      <c r="D112" s="66"/>
      <c r="E112" s="30"/>
      <c r="F112" s="65" t="s">
        <v>1</v>
      </c>
      <c r="G112" s="66"/>
      <c r="H112" s="66"/>
      <c r="I112" s="30"/>
      <c r="J112" s="65" t="s">
        <v>33</v>
      </c>
      <c r="K112" s="66"/>
      <c r="L112" s="66"/>
      <c r="M112" s="30"/>
      <c r="N112" s="65" t="s">
        <v>2</v>
      </c>
      <c r="O112" s="65"/>
      <c r="P112" s="65"/>
      <c r="Q112" s="30"/>
      <c r="R112" s="65" t="s">
        <v>259</v>
      </c>
      <c r="S112" s="65"/>
      <c r="T112" s="65"/>
    </row>
    <row r="113" spans="1:20" s="33" customFormat="1" ht="15.6">
      <c r="A113" s="30"/>
      <c r="B113" s="34" t="s">
        <v>3</v>
      </c>
      <c r="C113" s="34">
        <f>Min_Vin*2^0.5</f>
        <v>152.73506473629428</v>
      </c>
      <c r="D113" s="34" t="s">
        <v>4</v>
      </c>
      <c r="E113" s="30"/>
      <c r="F113" s="34" t="s">
        <v>86</v>
      </c>
      <c r="G113" s="34">
        <f>G28*1000</f>
        <v>62000</v>
      </c>
      <c r="H113" s="34" t="s">
        <v>5</v>
      </c>
      <c r="I113" s="30"/>
      <c r="J113" s="34" t="s">
        <v>321</v>
      </c>
      <c r="K113" s="34">
        <f>Max_VCS/Ipk_max</f>
        <v>0.1352928927755277</v>
      </c>
      <c r="L113" s="35" t="s">
        <v>6</v>
      </c>
      <c r="M113" s="30"/>
      <c r="N113" s="34" t="s">
        <v>92</v>
      </c>
      <c r="O113" s="34">
        <f>AVERAGE(peak_Vin_min,peak_Vin_max)</f>
        <v>169.70562748477141</v>
      </c>
      <c r="P113" s="35" t="s">
        <v>4</v>
      </c>
      <c r="Q113" s="30"/>
      <c r="R113" s="34" t="s">
        <v>244</v>
      </c>
      <c r="S113" s="34">
        <f>S29*0.001</f>
        <v>5.0000000000000001E-4</v>
      </c>
      <c r="T113" s="35" t="s">
        <v>7</v>
      </c>
    </row>
    <row r="114" spans="1:20" s="33" customFormat="1" ht="15.6">
      <c r="A114" s="30"/>
      <c r="B114" s="34" t="s">
        <v>8</v>
      </c>
      <c r="C114" s="34">
        <f>Rated_Vin*(2)^0.5</f>
        <v>169.70562748477141</v>
      </c>
      <c r="D114" s="34" t="s">
        <v>4</v>
      </c>
      <c r="E114" s="30"/>
      <c r="F114" s="34" t="s">
        <v>87</v>
      </c>
      <c r="G114" s="34">
        <f>1/Switch_freq</f>
        <v>1.6129032258064517E-5</v>
      </c>
      <c r="H114" s="34" t="s">
        <v>15</v>
      </c>
      <c r="I114" s="30"/>
      <c r="J114" s="34" t="s">
        <v>226</v>
      </c>
      <c r="K114" s="34">
        <v>130</v>
      </c>
      <c r="L114" s="35" t="s">
        <v>6</v>
      </c>
      <c r="M114" s="30"/>
      <c r="N114" s="34" t="s">
        <v>93</v>
      </c>
      <c r="O114" s="34">
        <v>16.8</v>
      </c>
      <c r="P114" s="35" t="s">
        <v>4</v>
      </c>
      <c r="Q114" s="30"/>
      <c r="R114" s="34" t="s">
        <v>245</v>
      </c>
      <c r="S114" s="34">
        <f>(Vsn-V.ZD.DP1)/I.DP.BIAS</f>
        <v>240000</v>
      </c>
      <c r="T114" s="35" t="s">
        <v>6</v>
      </c>
    </row>
    <row r="115" spans="1:20" s="33" customFormat="1" ht="15.6">
      <c r="A115" s="30"/>
      <c r="B115" s="34" t="s">
        <v>13</v>
      </c>
      <c r="C115" s="34">
        <f>Max_Vin*2^0.5</f>
        <v>186.67619023324855</v>
      </c>
      <c r="D115" s="34" t="s">
        <v>4</v>
      </c>
      <c r="E115" s="30"/>
      <c r="F115" s="34" t="s">
        <v>88</v>
      </c>
      <c r="G115" s="34">
        <v>70000</v>
      </c>
      <c r="H115" s="34" t="s">
        <v>5</v>
      </c>
      <c r="I115" s="30"/>
      <c r="J115" s="34" t="s">
        <v>227</v>
      </c>
      <c r="K115" s="34">
        <f>K30*10^-9</f>
        <v>7.0000000000000005E-8</v>
      </c>
      <c r="L115" s="35" t="s">
        <v>15</v>
      </c>
      <c r="M115" s="30"/>
      <c r="N115" s="34" t="s">
        <v>168</v>
      </c>
      <c r="O115" s="34">
        <f>IF(Rated_Vin&gt;180, 2000000, 620000)</f>
        <v>620000</v>
      </c>
      <c r="P115" s="35" t="s">
        <v>6</v>
      </c>
      <c r="Q115" s="30"/>
      <c r="R115" s="34" t="s">
        <v>249</v>
      </c>
      <c r="S115" s="34">
        <v>4</v>
      </c>
      <c r="T115" s="35" t="s">
        <v>4</v>
      </c>
    </row>
    <row r="116" spans="1:20" s="33" customFormat="1" ht="15.6">
      <c r="A116" s="30"/>
      <c r="B116" s="34" t="s">
        <v>159</v>
      </c>
      <c r="C116" s="36">
        <f>AVERAGE(Min_Vin,Max_Vin)</f>
        <v>120</v>
      </c>
      <c r="D116" s="34" t="s">
        <v>4</v>
      </c>
      <c r="E116" s="30"/>
      <c r="F116" s="34" t="s">
        <v>89</v>
      </c>
      <c r="G116" s="34">
        <f>1/Switch_freq_D</f>
        <v>1.4285714285714285E-5</v>
      </c>
      <c r="H116" s="34" t="s">
        <v>15</v>
      </c>
      <c r="I116" s="30"/>
      <c r="J116" s="34" t="s">
        <v>228</v>
      </c>
      <c r="K116" s="34">
        <f>6*Tpd*RCS*Rvs1_/(Nap*Lm)</f>
        <v>301.61194153369263</v>
      </c>
      <c r="L116" s="35" t="s">
        <v>6</v>
      </c>
      <c r="M116" s="30"/>
      <c r="N116" s="34" t="s">
        <v>11</v>
      </c>
      <c r="O116" s="34">
        <f>PeakVIN*Rvin1/(CenterVin.pk-PeakVIN)</f>
        <v>68120.449007263509</v>
      </c>
      <c r="P116" s="35" t="s">
        <v>6</v>
      </c>
      <c r="Q116" s="30"/>
      <c r="R116" s="34" t="s">
        <v>248</v>
      </c>
      <c r="S116" s="34">
        <f>V.SW.DP.TH/(V.SN.MIN.ND-V.ZD.DP1-V.SW.DP.TH)*R.DP2</f>
        <v>45714.28571428571</v>
      </c>
      <c r="T116" s="35" t="s">
        <v>6</v>
      </c>
    </row>
    <row r="117" spans="1:20" s="33" customFormat="1" ht="15.6">
      <c r="A117" s="30"/>
      <c r="B117" s="34" t="s">
        <v>17</v>
      </c>
      <c r="C117" s="34">
        <f>1/Line_freq*0.5</f>
        <v>8.3333333333333332E-3</v>
      </c>
      <c r="D117" s="34" t="s">
        <v>15</v>
      </c>
      <c r="E117" s="30"/>
      <c r="F117" s="34" t="s">
        <v>9</v>
      </c>
      <c r="G117" s="34">
        <f>Eff*Min_Vin^2*Switch_freq*Max_Ton^2/2/Pout</f>
        <v>1.2498368187357302E-4</v>
      </c>
      <c r="H117" s="34" t="s">
        <v>10</v>
      </c>
      <c r="I117" s="30"/>
      <c r="J117" s="34" t="s">
        <v>35</v>
      </c>
      <c r="K117" s="34">
        <v>2.9</v>
      </c>
      <c r="L117" s="34" t="s">
        <v>4</v>
      </c>
      <c r="M117" s="30"/>
      <c r="N117" s="34" t="s">
        <v>108</v>
      </c>
      <c r="O117" s="34">
        <f>Rvin2/(Rvin1+Rvin2)</f>
        <v>9.899494936611665E-2</v>
      </c>
      <c r="P117" s="35"/>
      <c r="Q117" s="30"/>
      <c r="R117" s="34" t="s">
        <v>235</v>
      </c>
      <c r="S117" s="34">
        <f>Pin/Min_Vin*2^0.5</f>
        <v>0.88696455178247224</v>
      </c>
      <c r="T117" s="35" t="s">
        <v>7</v>
      </c>
    </row>
    <row r="118" spans="1:20" s="33" customFormat="1" ht="15.6">
      <c r="A118" s="30"/>
      <c r="B118" s="34" t="s">
        <v>19</v>
      </c>
      <c r="C118" s="34">
        <f>C34*0.001</f>
        <v>1.2250000000000001</v>
      </c>
      <c r="D118" s="34" t="s">
        <v>7</v>
      </c>
      <c r="E118" s="30"/>
      <c r="F118" s="65" t="s">
        <v>90</v>
      </c>
      <c r="G118" s="66"/>
      <c r="H118" s="66"/>
      <c r="I118" s="30"/>
      <c r="J118" s="34" t="s">
        <v>36</v>
      </c>
      <c r="K118" s="34">
        <v>0.7</v>
      </c>
      <c r="L118" s="34" t="s">
        <v>4</v>
      </c>
      <c r="M118" s="30"/>
      <c r="N118" s="65" t="s">
        <v>100</v>
      </c>
      <c r="O118" s="65"/>
      <c r="P118" s="65"/>
      <c r="Q118" s="30"/>
      <c r="R118" s="34" t="s">
        <v>240</v>
      </c>
      <c r="S118" s="34">
        <f>S34*0.001</f>
        <v>0.13500000000000001</v>
      </c>
      <c r="T118" s="35" t="s">
        <v>7</v>
      </c>
    </row>
    <row r="119" spans="1:20" s="33" customFormat="1" ht="15.6">
      <c r="A119" s="30"/>
      <c r="B119" s="34" t="s">
        <v>20</v>
      </c>
      <c r="C119" s="34">
        <v>0.85</v>
      </c>
      <c r="D119" s="34"/>
      <c r="E119" s="30"/>
      <c r="F119" s="34" t="s">
        <v>14</v>
      </c>
      <c r="G119" s="34">
        <f>Max._Duty*0.01/Switch_freq</f>
        <v>4.8387096774193544E-6</v>
      </c>
      <c r="H119" s="34" t="s">
        <v>15</v>
      </c>
      <c r="I119" s="30"/>
      <c r="J119" s="34" t="s">
        <v>38</v>
      </c>
      <c r="K119" s="34">
        <f>67*10^-6</f>
        <v>6.7000000000000002E-5</v>
      </c>
      <c r="L119" s="34" t="s">
        <v>7</v>
      </c>
      <c r="M119" s="30"/>
      <c r="N119" s="34" t="s">
        <v>98</v>
      </c>
      <c r="O119" s="34">
        <f>(O31+O32)*10^-9</f>
        <v>1.0000000000000002E-6</v>
      </c>
      <c r="P119" s="35" t="s">
        <v>12</v>
      </c>
      <c r="Q119" s="30"/>
      <c r="R119" s="30"/>
      <c r="S119" s="30"/>
      <c r="T119" s="30"/>
    </row>
    <row r="120" spans="1:20" s="33" customFormat="1" ht="15.6">
      <c r="A120" s="30"/>
      <c r="B120" s="34" t="s">
        <v>21</v>
      </c>
      <c r="C120" s="34">
        <f>Pout/Eff</f>
        <v>67.735294117647058</v>
      </c>
      <c r="D120" s="34" t="s">
        <v>22</v>
      </c>
      <c r="E120" s="30"/>
      <c r="F120" s="34" t="s">
        <v>90</v>
      </c>
      <c r="G120" s="34">
        <f>peak_Vin_min*Max_Ton/Lm</f>
        <v>5.9130970118831483</v>
      </c>
      <c r="H120" s="34" t="s">
        <v>7</v>
      </c>
      <c r="I120" s="30"/>
      <c r="J120" s="34" t="s">
        <v>169</v>
      </c>
      <c r="K120" s="36">
        <f>peak_Vin_max*2.5*10^-6/Tdis.max</f>
        <v>44.849218106995892</v>
      </c>
      <c r="L120" s="34" t="s">
        <v>4</v>
      </c>
      <c r="M120" s="30"/>
      <c r="N120" s="34" t="s">
        <v>117</v>
      </c>
      <c r="O120" s="34">
        <f>Mean_Vin*2^0.5</f>
        <v>169.70562748477141</v>
      </c>
      <c r="P120" s="35" t="s">
        <v>4</v>
      </c>
      <c r="Q120" s="30"/>
      <c r="R120" s="30"/>
      <c r="S120" s="30"/>
      <c r="T120" s="30"/>
    </row>
    <row r="121" spans="1:20" s="33" customFormat="1" ht="15.6">
      <c r="A121" s="30"/>
      <c r="B121" s="65" t="s">
        <v>85</v>
      </c>
      <c r="C121" s="66"/>
      <c r="D121" s="66"/>
      <c r="E121" s="30"/>
      <c r="F121" s="65" t="s">
        <v>23</v>
      </c>
      <c r="G121" s="66"/>
      <c r="H121" s="66"/>
      <c r="I121" s="30"/>
      <c r="J121" s="34" t="s">
        <v>170</v>
      </c>
      <c r="K121" s="36">
        <f>(Nps*Rated_Vout*2.5*10^-6)^2/(2*Lm*Ts_D*Iin.min)</f>
        <v>34.62127683662596</v>
      </c>
      <c r="L121" s="34" t="s">
        <v>4</v>
      </c>
      <c r="M121" s="30"/>
      <c r="N121" s="34" t="s">
        <v>105</v>
      </c>
      <c r="O121" s="34">
        <v>55</v>
      </c>
      <c r="P121" s="35" t="s">
        <v>75</v>
      </c>
      <c r="Q121" s="30"/>
      <c r="R121" s="30"/>
      <c r="S121" s="30"/>
      <c r="T121" s="30"/>
    </row>
    <row r="122" spans="1:20" s="33" customFormat="1" ht="15.6">
      <c r="A122" s="30"/>
      <c r="B122" s="34" t="s">
        <v>251</v>
      </c>
      <c r="C122" s="34">
        <f>Pin*Min_Vout/Rated_Vout/(peak_Vin_max*2/PI())</f>
        <v>0.25466391172933145</v>
      </c>
      <c r="D122" s="34" t="s">
        <v>7</v>
      </c>
      <c r="E122" s="30"/>
      <c r="F122" s="34" t="s">
        <v>23</v>
      </c>
      <c r="G122" s="34">
        <f xml:space="preserve"> ( (2*Ts_D*Iin.minVin.maxPA*peak_Vin_min)/Lm )^0.5</f>
        <v>5.4416556769848219</v>
      </c>
      <c r="H122" s="34" t="s">
        <v>7</v>
      </c>
      <c r="I122" s="30"/>
      <c r="J122" s="34" t="s">
        <v>171</v>
      </c>
      <c r="K122" s="36">
        <f>IF(VIN.BNK.ND&gt;VIN.BNK.D,VIN.BNK.ND,VIN.BNK.D)</f>
        <v>44.849218106995892</v>
      </c>
      <c r="L122" s="34" t="s">
        <v>4</v>
      </c>
      <c r="M122" s="30"/>
      <c r="N122" s="34" t="s">
        <v>111</v>
      </c>
      <c r="O122" s="34">
        <f>Vin_ivc_pk*COS(A.ivc.start*PI()/180)</f>
        <v>97.339149041433345</v>
      </c>
      <c r="P122" s="35" t="s">
        <v>4</v>
      </c>
      <c r="Q122" s="30"/>
      <c r="R122" s="30"/>
      <c r="S122" s="30"/>
      <c r="T122" s="30"/>
    </row>
    <row r="123" spans="1:20" s="33" customFormat="1" ht="15.6">
      <c r="A123" s="30"/>
      <c r="B123" s="34" t="s">
        <v>165</v>
      </c>
      <c r="C123" s="34">
        <f>C39*10^-3</f>
        <v>0.255</v>
      </c>
      <c r="D123" s="34" t="s">
        <v>7</v>
      </c>
      <c r="E123" s="30"/>
      <c r="F123" s="65" t="s">
        <v>91</v>
      </c>
      <c r="G123" s="66"/>
      <c r="H123" s="66"/>
      <c r="I123" s="30"/>
      <c r="J123" s="34" t="s">
        <v>39</v>
      </c>
      <c r="K123" s="34">
        <f>Nap*VIN.BNK.F/Ivs.bnk</f>
        <v>196879.79853817335</v>
      </c>
      <c r="L123" s="35" t="s">
        <v>6</v>
      </c>
      <c r="M123" s="30"/>
      <c r="N123" s="34" t="s">
        <v>106</v>
      </c>
      <c r="O123" s="34">
        <f>A.ivc.start/180/(2*Line_freq)</f>
        <v>2.5462962962962965E-3</v>
      </c>
      <c r="P123" s="35" t="s">
        <v>15</v>
      </c>
      <c r="Q123" s="30"/>
      <c r="R123" s="30"/>
      <c r="S123" s="30"/>
      <c r="T123" s="30"/>
    </row>
    <row r="124" spans="1:20" s="33" customFormat="1" ht="15.6">
      <c r="A124" s="30"/>
      <c r="B124" s="34" t="s">
        <v>157</v>
      </c>
      <c r="C124" s="34">
        <f>PI()*Pin/( 2^0.5*Min_Vin*( 1 + COS(PI()-Max_PA*PI()/180) ) )</f>
        <v>0.84809542738335697</v>
      </c>
      <c r="D124" s="34" t="s">
        <v>7</v>
      </c>
      <c r="E124" s="30"/>
      <c r="F124" s="37" t="s">
        <v>84</v>
      </c>
      <c r="G124" s="34">
        <f>IF(Ipk_at_dim_dcm&gt;Ipk_at_non_dim,Ipk_at_dim_dcm,Ipk_at_non_dim)</f>
        <v>5.9130970118831483</v>
      </c>
      <c r="H124" s="34" t="s">
        <v>7</v>
      </c>
      <c r="I124" s="30"/>
      <c r="J124" s="34" t="s">
        <v>41</v>
      </c>
      <c r="K124" s="34">
        <f>Rvs1_*Vvs.ovp/( (Max_Vout+Vf)*Nas - Vvs.ovp )</f>
        <v>26123.857355599001</v>
      </c>
      <c r="L124" s="35" t="s">
        <v>6</v>
      </c>
      <c r="M124" s="30"/>
      <c r="N124" s="34" t="s">
        <v>110</v>
      </c>
      <c r="O124" s="34">
        <f>T.HLINE/2</f>
        <v>4.1666666666666666E-3</v>
      </c>
      <c r="P124" s="35" t="s">
        <v>15</v>
      </c>
      <c r="Q124" s="30"/>
      <c r="R124" s="30"/>
      <c r="S124" s="30"/>
      <c r="T124" s="30"/>
    </row>
    <row r="125" spans="1:20" s="33" customFormat="1" ht="15.6">
      <c r="A125" s="30"/>
      <c r="B125" s="34" t="s">
        <v>158</v>
      </c>
      <c r="C125" s="34">
        <f>PI()*Pin/( 2^0.5*Min_Vin*2 )</f>
        <v>0.69662032996859458</v>
      </c>
      <c r="D125" s="34" t="s">
        <v>7</v>
      </c>
      <c r="E125" s="30"/>
      <c r="F125" s="65" t="s">
        <v>24</v>
      </c>
      <c r="G125" s="66"/>
      <c r="H125" s="66"/>
      <c r="I125" s="30"/>
      <c r="J125" s="34" t="s">
        <v>42</v>
      </c>
      <c r="K125" s="34">
        <f>peak_Vin_min*Max_Ton/(Nps*Rated_Vout)</f>
        <v>1.0405766148915844E-5</v>
      </c>
      <c r="L125" s="34" t="s">
        <v>15</v>
      </c>
      <c r="M125" s="30"/>
      <c r="N125" s="34" t="s">
        <v>107</v>
      </c>
      <c r="O125" s="34">
        <f>4.8/rvin</f>
        <v>48.487322138506116</v>
      </c>
      <c r="P125" s="35" t="s">
        <v>4</v>
      </c>
      <c r="Q125" s="30"/>
      <c r="R125" s="30"/>
      <c r="S125" s="30"/>
      <c r="T125" s="30"/>
    </row>
    <row r="126" spans="1:20" s="33" customFormat="1" ht="15.6">
      <c r="A126" s="30"/>
      <c r="B126" s="34" t="s">
        <v>160</v>
      </c>
      <c r="C126" s="34">
        <f>PI()*Pin/( 2^0.5*Mean_Vin*( 1 + COS(PI()-Max_PA*PI()/180) ) )</f>
        <v>0.76328588464502123</v>
      </c>
      <c r="D126" s="34" t="s">
        <v>7</v>
      </c>
      <c r="E126" s="30"/>
      <c r="F126" s="34" t="s">
        <v>24</v>
      </c>
      <c r="G126" s="34">
        <f>2*Iin.minVin.maxPA*(Rated_Vout*Nps+peak_Vin_min)/(Rated_Vout*Nps)</f>
        <v>5.3438916996840149</v>
      </c>
      <c r="H126" s="34" t="s">
        <v>7</v>
      </c>
      <c r="I126" s="30"/>
      <c r="J126" s="65" t="s">
        <v>32</v>
      </c>
      <c r="K126" s="65"/>
      <c r="L126" s="65"/>
      <c r="M126" s="30"/>
      <c r="N126" s="34" t="s">
        <v>109</v>
      </c>
      <c r="O126" s="34">
        <f>ACOS(Vin.ivc.clamp/Vin_ivc_pk)/(2*PI()*Line_freq)</f>
        <v>3.3980764074527671E-3</v>
      </c>
      <c r="P126" s="35" t="s">
        <v>15</v>
      </c>
      <c r="Q126" s="30"/>
      <c r="R126" s="30"/>
      <c r="S126" s="30"/>
      <c r="T126" s="30"/>
    </row>
    <row r="127" spans="1:20" s="33" customFormat="1" ht="15.6">
      <c r="A127" s="30"/>
      <c r="B127" s="34" t="s">
        <v>161</v>
      </c>
      <c r="C127" s="34">
        <f>PI()*Pin/( 2^0.5*Mean_Vin*2 )</f>
        <v>0.62695829697173511</v>
      </c>
      <c r="D127" s="34" t="s">
        <v>7</v>
      </c>
      <c r="E127" s="30"/>
      <c r="F127" s="34" t="s">
        <v>25</v>
      </c>
      <c r="G127" s="34">
        <f>G126*Lm/peak_Vin_min</f>
        <v>4.3729268148954538E-6</v>
      </c>
      <c r="H127" s="34" t="s">
        <v>15</v>
      </c>
      <c r="I127" s="30"/>
      <c r="J127" s="34" t="s">
        <v>34</v>
      </c>
      <c r="K127" s="34">
        <v>510000</v>
      </c>
      <c r="L127" s="35"/>
      <c r="M127" s="30"/>
      <c r="N127" s="65" t="s">
        <v>114</v>
      </c>
      <c r="O127" s="66"/>
      <c r="P127" s="66"/>
      <c r="Q127" s="30"/>
      <c r="R127" s="30"/>
      <c r="S127" s="30"/>
      <c r="T127" s="30"/>
    </row>
    <row r="128" spans="1:20" s="33" customFormat="1" ht="15.6">
      <c r="A128" s="30"/>
      <c r="B128" s="30"/>
      <c r="C128" s="30"/>
      <c r="D128" s="30"/>
      <c r="E128" s="30"/>
      <c r="F128" s="34" t="s">
        <v>26</v>
      </c>
      <c r="G128" s="34">
        <f>G127*(peak_Vin_min+Nps*Rated_Vout)/(Nps*Rated_Vout)</f>
        <v>1.3777015271468056E-5</v>
      </c>
      <c r="H128" s="34" t="s">
        <v>15</v>
      </c>
      <c r="I128" s="30"/>
      <c r="J128" s="34" t="s">
        <v>268</v>
      </c>
      <c r="K128" s="34">
        <f>RCS*Iin.min*Kicc.hold</f>
        <v>17437.444543034602</v>
      </c>
      <c r="L128" s="35" t="s">
        <v>6</v>
      </c>
      <c r="M128" s="30"/>
      <c r="N128" s="34" t="s">
        <v>112</v>
      </c>
      <c r="O128" s="34">
        <f>Ctotal*Vin.ivc.start</f>
        <v>9.7339149041433367E-5</v>
      </c>
      <c r="P128" s="35" t="s">
        <v>113</v>
      </c>
      <c r="Q128" s="30"/>
      <c r="R128" s="30"/>
      <c r="S128" s="30"/>
      <c r="T128" s="30"/>
    </row>
    <row r="129" spans="1:22" s="33" customFormat="1" ht="15.6">
      <c r="A129" s="30"/>
      <c r="B129" s="30"/>
      <c r="C129" s="30"/>
      <c r="D129" s="30"/>
      <c r="E129" s="30"/>
      <c r="F129" s="34" t="s">
        <v>27</v>
      </c>
      <c r="G129" s="34">
        <f>1/G128</f>
        <v>72584.662228761663</v>
      </c>
      <c r="H129" s="34" t="s">
        <v>5</v>
      </c>
      <c r="I129" s="30"/>
      <c r="J129" s="34" t="s">
        <v>271</v>
      </c>
      <c r="K129" s="34">
        <f>RHOLD*36*10^-6</f>
        <v>0.62774800354924565</v>
      </c>
      <c r="L129" s="35" t="s">
        <v>4</v>
      </c>
      <c r="M129" s="30"/>
      <c r="N129" s="34" t="s">
        <v>115</v>
      </c>
      <c r="O129" s="34">
        <v>0</v>
      </c>
      <c r="P129" s="35" t="s">
        <v>113</v>
      </c>
      <c r="Q129" s="30"/>
      <c r="R129" s="30"/>
      <c r="S129" s="30"/>
      <c r="T129" s="30"/>
    </row>
    <row r="130" spans="1:22" s="33" customFormat="1" ht="15.6">
      <c r="A130" s="30"/>
      <c r="B130" s="30"/>
      <c r="C130" s="30"/>
      <c r="D130" s="30"/>
      <c r="E130" s="30"/>
      <c r="F130" s="65" t="s">
        <v>28</v>
      </c>
      <c r="G130" s="66"/>
      <c r="H130" s="66"/>
      <c r="I130" s="30"/>
      <c r="J130" s="65" t="s">
        <v>131</v>
      </c>
      <c r="K130" s="66"/>
      <c r="L130" s="66"/>
      <c r="M130" s="30"/>
      <c r="N130" s="34" t="s">
        <v>119</v>
      </c>
      <c r="O130" s="34">
        <f>1.6*(T.ivc.clamp-T.ivc.start)  -  Vin_ivc_pk*rvin*0.08/(2*PI()*Line_freq)*( SIN(2*PI()*Line_freq*T.ivc.clamp) - SIN(2*PI()*Line_freq*T.ivc.start) ) + 0.5*(T.ivc.stop-T.ivc.clamp)</f>
        <v>1.2510180716851556E-3</v>
      </c>
      <c r="P130" s="35" t="s">
        <v>118</v>
      </c>
      <c r="Q130" s="30"/>
      <c r="R130" s="30"/>
      <c r="S130" s="30"/>
      <c r="T130" s="30"/>
      <c r="V130" s="38"/>
    </row>
    <row r="131" spans="1:22" s="33" customFormat="1" ht="15.6">
      <c r="A131" s="30"/>
      <c r="B131" s="30"/>
      <c r="C131" s="30"/>
      <c r="D131" s="30"/>
      <c r="E131" s="30"/>
      <c r="F131" s="37" t="s">
        <v>28</v>
      </c>
      <c r="G131" s="34">
        <f>IF(Ipk_max&gt;Ipk_at_dim_bcm,Ipk_max,Ipk_at_dim_bcm)</f>
        <v>5.9130970118831483</v>
      </c>
      <c r="H131" s="34" t="s">
        <v>7</v>
      </c>
      <c r="I131" s="30"/>
      <c r="J131" s="34" t="s">
        <v>125</v>
      </c>
      <c r="K131" s="34">
        <v>0.4</v>
      </c>
      <c r="L131" s="35" t="s">
        <v>4</v>
      </c>
      <c r="M131" s="30"/>
      <c r="N131" s="34" t="s">
        <v>116</v>
      </c>
      <c r="O131" s="34">
        <f>A.Vrivc/(Q_Ctotal-Q_fly)</f>
        <v>12.852157472145636</v>
      </c>
      <c r="P131" s="35" t="s">
        <v>6</v>
      </c>
      <c r="Q131" s="30"/>
      <c r="R131" s="30"/>
      <c r="S131" s="30"/>
      <c r="T131" s="30"/>
    </row>
    <row r="132" spans="1:22" s="33" customFormat="1" ht="15.6">
      <c r="A132" s="30"/>
      <c r="B132" s="30"/>
      <c r="C132" s="30"/>
      <c r="D132" s="30"/>
      <c r="E132" s="30"/>
      <c r="F132" s="65" t="s">
        <v>323</v>
      </c>
      <c r="G132" s="66"/>
      <c r="H132" s="66"/>
      <c r="I132" s="30"/>
      <c r="J132" s="34" t="s">
        <v>126</v>
      </c>
      <c r="K132" s="34">
        <f>K131*(1-0.075)</f>
        <v>0.37000000000000005</v>
      </c>
      <c r="L132" s="35" t="s">
        <v>4</v>
      </c>
      <c r="M132" s="30"/>
      <c r="N132" s="65" t="s">
        <v>101</v>
      </c>
      <c r="O132" s="65"/>
      <c r="P132" s="65"/>
      <c r="Q132" s="30"/>
      <c r="R132" s="30"/>
      <c r="S132" s="30"/>
      <c r="T132" s="30"/>
    </row>
    <row r="133" spans="1:22" s="33" customFormat="1" ht="15.6">
      <c r="A133" s="30"/>
      <c r="B133" s="30"/>
      <c r="C133" s="30"/>
      <c r="D133" s="30"/>
      <c r="E133" s="30"/>
      <c r="F133" s="34" t="s">
        <v>29</v>
      </c>
      <c r="G133" s="34">
        <f>G30*10^-6</f>
        <v>3.6000000000000001E-5</v>
      </c>
      <c r="H133" s="34" t="s">
        <v>324</v>
      </c>
      <c r="I133" s="30"/>
      <c r="J133" s="34" t="s">
        <v>127</v>
      </c>
      <c r="K133" s="34">
        <f>K131*(1+0.075)</f>
        <v>0.43</v>
      </c>
      <c r="L133" s="35" t="s">
        <v>4</v>
      </c>
      <c r="M133" s="30"/>
      <c r="N133" s="34" t="s">
        <v>120</v>
      </c>
      <c r="O133" s="34">
        <f>Ctotal*peak_Vin_max*(2*PI()*Line_freq)+Iin.min</f>
        <v>0.32537526574042852</v>
      </c>
      <c r="P133" s="35" t="s">
        <v>7</v>
      </c>
      <c r="Q133" s="30"/>
      <c r="R133" s="30"/>
      <c r="S133" s="30"/>
      <c r="T133" s="30"/>
    </row>
    <row r="134" spans="1:22" s="33" customFormat="1" ht="15.6">
      <c r="A134" s="30"/>
      <c r="B134" s="30"/>
      <c r="C134" s="30"/>
      <c r="D134" s="30"/>
      <c r="E134" s="34"/>
      <c r="F134" s="34" t="s">
        <v>30</v>
      </c>
      <c r="G134" s="34">
        <v>4.5999999999999996</v>
      </c>
      <c r="H134" s="34"/>
      <c r="I134" s="30"/>
      <c r="J134" s="34" t="s">
        <v>128</v>
      </c>
      <c r="K134" s="34">
        <f>K132*(1-0.4)</f>
        <v>0.22200000000000003</v>
      </c>
      <c r="L134" s="35" t="s">
        <v>4</v>
      </c>
      <c r="M134" s="30"/>
      <c r="N134" s="34" t="s">
        <v>102</v>
      </c>
      <c r="O134" s="34">
        <f>O37*10^-3</f>
        <v>0.16</v>
      </c>
      <c r="P134" s="35" t="s">
        <v>7</v>
      </c>
      <c r="Q134" s="30"/>
      <c r="R134" s="30"/>
      <c r="S134" s="30"/>
      <c r="T134" s="30"/>
    </row>
    <row r="135" spans="1:22" s="33" customFormat="1" ht="15.6">
      <c r="A135" s="30"/>
      <c r="B135" s="30"/>
      <c r="C135" s="30"/>
      <c r="D135" s="30"/>
      <c r="E135" s="34"/>
      <c r="F135" s="34" t="s">
        <v>31</v>
      </c>
      <c r="G135" s="34">
        <v>1</v>
      </c>
      <c r="H135" s="34" t="s">
        <v>4</v>
      </c>
      <c r="I135" s="30"/>
      <c r="J135" s="34" t="s">
        <v>129</v>
      </c>
      <c r="K135" s="34">
        <f>K133*(1+0.05)</f>
        <v>0.45150000000000001</v>
      </c>
      <c r="L135" s="35" t="s">
        <v>4</v>
      </c>
      <c r="M135" s="30"/>
      <c r="N135" s="65" t="s">
        <v>312</v>
      </c>
      <c r="O135" s="65"/>
      <c r="P135" s="65"/>
      <c r="Q135" s="30"/>
      <c r="R135" s="30"/>
      <c r="S135" s="30"/>
      <c r="T135" s="30"/>
      <c r="V135" s="38"/>
    </row>
    <row r="136" spans="1:22" s="33" customFormat="1" ht="15.6">
      <c r="A136" s="30"/>
      <c r="B136" s="30"/>
      <c r="C136" s="30"/>
      <c r="D136" s="30"/>
      <c r="E136" s="34"/>
      <c r="F136" s="34" t="s">
        <v>325</v>
      </c>
      <c r="G136" s="39">
        <f>2*Rated_Iout*RCS_i*KEAI/Vref</f>
        <v>1.5247509015801972</v>
      </c>
      <c r="H136" s="35"/>
      <c r="I136" s="30"/>
      <c r="J136" s="65" t="s">
        <v>141</v>
      </c>
      <c r="K136" s="65"/>
      <c r="L136" s="65"/>
      <c r="M136" s="30"/>
      <c r="N136" s="34" t="s">
        <v>313</v>
      </c>
      <c r="O136" s="34">
        <f>O41*10^-9*0.9</f>
        <v>6.1200000000000005E-8</v>
      </c>
      <c r="P136" s="35" t="s">
        <v>12</v>
      </c>
      <c r="Q136" s="30"/>
      <c r="R136" s="30"/>
      <c r="S136" s="30"/>
      <c r="T136" s="30"/>
      <c r="V136" s="40"/>
    </row>
    <row r="137" spans="1:22" s="33" customFormat="1" ht="15.6">
      <c r="A137" s="30"/>
      <c r="B137" s="30"/>
      <c r="C137" s="30"/>
      <c r="D137" s="30"/>
      <c r="E137" s="34"/>
      <c r="F137" s="34" t="s">
        <v>326</v>
      </c>
      <c r="G137" s="39">
        <f>Np/Ns</f>
        <v>1.5111111111111111</v>
      </c>
      <c r="H137" s="35"/>
      <c r="I137" s="30"/>
      <c r="J137" s="34" t="s">
        <v>166</v>
      </c>
      <c r="K137" s="34">
        <f>Pin/(peak_Vin_max*2/PI())</f>
        <v>0.56996208815612281</v>
      </c>
      <c r="L137" s="35" t="s">
        <v>7</v>
      </c>
      <c r="M137" s="30"/>
      <c r="N137" s="34" t="s">
        <v>315</v>
      </c>
      <c r="O137" s="48">
        <f>1.5*(Rvin1+Rvin2)/Rvin2</f>
        <v>15.152288168283162</v>
      </c>
      <c r="P137" s="35" t="s">
        <v>316</v>
      </c>
      <c r="Q137" s="30"/>
      <c r="R137" s="30"/>
      <c r="S137" s="30"/>
      <c r="T137" s="30"/>
      <c r="V137" s="40"/>
    </row>
    <row r="138" spans="1:22" s="33" customFormat="1" ht="15.6">
      <c r="A138" s="30"/>
      <c r="B138" s="30"/>
      <c r="C138" s="30"/>
      <c r="D138" s="30"/>
      <c r="E138" s="30"/>
      <c r="F138" s="34" t="s">
        <v>327</v>
      </c>
      <c r="G138" s="39">
        <f>25/Max_Vout</f>
        <v>0.45454545454545453</v>
      </c>
      <c r="H138" s="35"/>
      <c r="I138" s="30"/>
      <c r="J138" s="34" t="s">
        <v>167</v>
      </c>
      <c r="K138" s="34">
        <f>RHOLD*39*10^-6*Iin.maxVin.180PA.woOTC/Iin.min + Vf.min.icc</f>
        <v>1.7420337641189374</v>
      </c>
      <c r="L138" s="34" t="s">
        <v>4</v>
      </c>
      <c r="M138" s="30"/>
      <c r="N138" s="34" t="s">
        <v>314</v>
      </c>
      <c r="O138" s="34">
        <f>Vin.ini * C.IN2 / (Lm*1.15*C.IN2)^0.5 * SIN(10^-5/(Lm*1.15*C.IN2)^0.5) * RCS</f>
        <v>-9.5617821512203448E-3</v>
      </c>
      <c r="P138" s="35" t="s">
        <v>4</v>
      </c>
      <c r="Q138" s="30"/>
      <c r="R138" s="30"/>
      <c r="S138" s="30"/>
      <c r="T138" s="30"/>
      <c r="V138" s="40"/>
    </row>
    <row r="139" spans="1:22" s="33" customFormat="1" ht="15.6">
      <c r="A139" s="30"/>
      <c r="B139" s="30"/>
      <c r="C139" s="30"/>
      <c r="D139" s="30"/>
      <c r="E139" s="30"/>
      <c r="F139" s="34" t="s">
        <v>328</v>
      </c>
      <c r="G139" s="39">
        <f>Na/Ns</f>
        <v>0.44444444444444442</v>
      </c>
      <c r="H139" s="35"/>
      <c r="I139" s="30"/>
      <c r="J139" s="34" t="s">
        <v>147</v>
      </c>
      <c r="K139" s="34">
        <f>K138</f>
        <v>1.7420337641189374</v>
      </c>
      <c r="L139" s="34" t="s">
        <v>4</v>
      </c>
      <c r="M139" s="30"/>
      <c r="N139" s="30"/>
      <c r="O139" s="30"/>
      <c r="P139" s="30"/>
      <c r="Q139" s="30"/>
      <c r="R139" s="30"/>
      <c r="S139" s="30"/>
      <c r="T139" s="30"/>
    </row>
    <row r="140" spans="1:22" s="33" customFormat="1" ht="15.6">
      <c r="A140" s="30"/>
      <c r="B140" s="30"/>
      <c r="C140" s="30"/>
      <c r="D140" s="30"/>
      <c r="E140" s="30"/>
      <c r="F140" s="34" t="s">
        <v>329</v>
      </c>
      <c r="G140" s="39">
        <f>Nas_i/Nps_i</f>
        <v>0.29811128760401445</v>
      </c>
      <c r="H140" s="35"/>
      <c r="I140" s="30"/>
      <c r="J140" s="65" t="s">
        <v>16</v>
      </c>
      <c r="K140" s="65"/>
      <c r="L140" s="65"/>
      <c r="M140" s="30"/>
      <c r="N140" s="30"/>
      <c r="O140" s="30"/>
      <c r="P140" s="30"/>
      <c r="Q140" s="30"/>
      <c r="R140" s="30"/>
      <c r="S140" s="30"/>
      <c r="T140" s="30"/>
    </row>
    <row r="141" spans="1:22" s="33" customFormat="1" ht="15.6">
      <c r="A141" s="30"/>
      <c r="B141" s="30"/>
      <c r="C141" s="30"/>
      <c r="D141" s="30"/>
      <c r="E141" s="30"/>
      <c r="F141" s="34" t="s">
        <v>330</v>
      </c>
      <c r="G141" s="39">
        <f>Na/Np</f>
        <v>0.29411764705882354</v>
      </c>
      <c r="H141" s="35"/>
      <c r="I141" s="30"/>
      <c r="J141" s="34" t="s">
        <v>94</v>
      </c>
      <c r="K141" s="34">
        <f>3.3/( (40*10^-6) * Max_PA/180 )</f>
        <v>114230.76923076923</v>
      </c>
      <c r="L141" s="35" t="s">
        <v>6</v>
      </c>
      <c r="M141" s="30"/>
      <c r="N141" s="30"/>
      <c r="O141" s="30"/>
      <c r="P141" s="30"/>
      <c r="Q141" s="30"/>
      <c r="R141" s="30"/>
      <c r="S141" s="30"/>
      <c r="T141" s="30"/>
    </row>
    <row r="142" spans="1:22" s="33" customFormat="1" ht="15.6">
      <c r="A142" s="30"/>
      <c r="B142" s="30"/>
      <c r="C142" s="30"/>
      <c r="D142" s="30"/>
      <c r="E142" s="30"/>
      <c r="F142" s="65" t="s">
        <v>202</v>
      </c>
      <c r="G142" s="66"/>
      <c r="H142" s="66"/>
      <c r="I142" s="30"/>
      <c r="J142" s="34" t="s">
        <v>148</v>
      </c>
      <c r="K142" s="34">
        <f>VHOLD/3.3</f>
        <v>0.19022666774219565</v>
      </c>
      <c r="L142" s="35"/>
      <c r="M142" s="30"/>
      <c r="N142" s="30"/>
      <c r="O142" s="30"/>
      <c r="P142" s="30"/>
      <c r="Q142" s="30"/>
      <c r="R142" s="30"/>
      <c r="S142" s="30"/>
      <c r="T142" s="30"/>
    </row>
    <row r="143" spans="1:22" s="33" customFormat="1" ht="15.6">
      <c r="A143" s="30"/>
      <c r="B143" s="30"/>
      <c r="C143" s="30"/>
      <c r="D143" s="30"/>
      <c r="E143" s="30"/>
      <c r="F143" s="34" t="s">
        <v>203</v>
      </c>
      <c r="G143" s="34">
        <f>G39*10^-6</f>
        <v>3.9999999999999998E-6</v>
      </c>
      <c r="H143" s="34" t="s">
        <v>10</v>
      </c>
      <c r="I143" s="30"/>
      <c r="J143" s="34" t="s">
        <v>149</v>
      </c>
      <c r="K143" s="34">
        <f>Rdim.total-Rdim2</f>
        <v>92501.030646372266</v>
      </c>
      <c r="L143" s="35" t="s">
        <v>6</v>
      </c>
      <c r="M143" s="30"/>
      <c r="N143" s="30"/>
      <c r="O143" s="30"/>
      <c r="P143" s="30"/>
      <c r="Q143" s="30"/>
      <c r="R143" s="30"/>
      <c r="S143" s="30"/>
      <c r="T143" s="30"/>
    </row>
    <row r="144" spans="1:22" s="33" customFormat="1" ht="15.6">
      <c r="A144" s="30"/>
      <c r="B144" s="30"/>
      <c r="C144" s="30"/>
      <c r="D144" s="30"/>
      <c r="E144" s="30"/>
      <c r="F144" s="34" t="s">
        <v>204</v>
      </c>
      <c r="G144" s="34">
        <f>Vsn^2 / (0.5*Llk*Ipk_max_final^2*Vsn/(Vsn-Nps*Rated_Vout)*Switch_freq)</f>
        <v>2732.401248891857</v>
      </c>
      <c r="H144" s="34" t="s">
        <v>205</v>
      </c>
      <c r="I144" s="30"/>
      <c r="J144" s="34" t="s">
        <v>150</v>
      </c>
      <c r="K144" s="34">
        <f>Rdim.total*K142</f>
        <v>21729.738584396964</v>
      </c>
      <c r="L144" s="35" t="s">
        <v>6</v>
      </c>
      <c r="M144" s="30"/>
      <c r="N144" s="30"/>
      <c r="O144" s="30"/>
      <c r="P144" s="30"/>
      <c r="Q144" s="30"/>
      <c r="R144" s="30"/>
      <c r="S144" s="30"/>
      <c r="T144" s="30"/>
    </row>
    <row r="145" spans="1:20" s="33" customFormat="1">
      <c r="A145" s="30"/>
      <c r="B145" s="30"/>
      <c r="C145" s="30"/>
      <c r="D145" s="30"/>
      <c r="E145" s="30"/>
      <c r="F145" s="34" t="s">
        <v>246</v>
      </c>
      <c r="G145" s="34">
        <f>Vsn/(Vsn/Rsn-I.DP.BIAS)</f>
        <v>2757.5167226815074</v>
      </c>
      <c r="H145" s="34" t="s">
        <v>205</v>
      </c>
      <c r="I145" s="30"/>
      <c r="J145" s="34" t="s">
        <v>18</v>
      </c>
      <c r="K145" s="34">
        <f>50*0.001/Rdim.total</f>
        <v>4.3771043771043773E-7</v>
      </c>
      <c r="L145" s="34" t="s">
        <v>12</v>
      </c>
      <c r="M145" s="30"/>
      <c r="N145" s="30"/>
      <c r="O145" s="30"/>
      <c r="P145" s="30"/>
      <c r="Q145" s="30"/>
      <c r="R145" s="30"/>
      <c r="S145" s="30"/>
      <c r="T145" s="30"/>
    </row>
    <row r="146" spans="1:20" s="33" customFormat="1">
      <c r="A146" s="30"/>
      <c r="B146" s="30"/>
      <c r="C146" s="30"/>
      <c r="D146" s="30"/>
      <c r="E146" s="30"/>
      <c r="F146" s="34" t="s">
        <v>206</v>
      </c>
      <c r="G146" s="34">
        <f>Vsn/(Vsn.r*Rsn*Switch_freq)</f>
        <v>8.8543175702721642E-8</v>
      </c>
      <c r="H146" s="34" t="s">
        <v>12</v>
      </c>
      <c r="I146" s="30"/>
      <c r="M146" s="30"/>
      <c r="N146" s="30"/>
      <c r="O146" s="30"/>
      <c r="P146" s="30"/>
      <c r="Q146" s="30"/>
      <c r="R146" s="30"/>
      <c r="S146" s="30"/>
      <c r="T146" s="30"/>
    </row>
    <row r="147" spans="1:20" s="33" customFormat="1">
      <c r="A147" s="30"/>
      <c r="B147" s="30"/>
      <c r="C147" s="30"/>
      <c r="D147" s="30"/>
      <c r="E147" s="30"/>
      <c r="F147" s="65" t="s">
        <v>211</v>
      </c>
      <c r="G147" s="66"/>
      <c r="H147" s="66"/>
      <c r="I147" s="30"/>
      <c r="M147" s="30"/>
      <c r="N147" s="30"/>
      <c r="O147" s="30"/>
      <c r="P147" s="30"/>
      <c r="Q147" s="30"/>
      <c r="R147" s="30"/>
      <c r="S147" s="30"/>
      <c r="T147" s="30"/>
    </row>
    <row r="148" spans="1:20" s="33" customFormat="1">
      <c r="A148" s="30"/>
      <c r="B148" s="30"/>
      <c r="C148" s="30"/>
      <c r="D148" s="30"/>
      <c r="E148" s="30"/>
      <c r="F148" s="34" t="s">
        <v>212</v>
      </c>
      <c r="G148" s="34">
        <f>2*peak_Vin_min/(PI()*Lm)*(Max_Ton^3/(3*Ts))^0.5</f>
        <v>1.190406054821902</v>
      </c>
      <c r="H148" s="34" t="s">
        <v>7</v>
      </c>
      <c r="I148" s="30"/>
      <c r="M148" s="30"/>
      <c r="N148" s="30"/>
      <c r="O148" s="30"/>
      <c r="P148" s="30"/>
      <c r="Q148" s="30"/>
      <c r="R148" s="30"/>
      <c r="S148" s="30"/>
      <c r="T148" s="30"/>
    </row>
    <row r="149" spans="1:20" s="33" customFormat="1">
      <c r="A149" s="30"/>
      <c r="B149" s="30"/>
      <c r="C149" s="30"/>
      <c r="D149" s="30"/>
      <c r="E149" s="30"/>
      <c r="F149" s="30"/>
      <c r="G149" s="30"/>
      <c r="H149" s="30"/>
      <c r="I149" s="30"/>
      <c r="M149" s="30"/>
      <c r="N149" s="30"/>
      <c r="O149" s="30"/>
      <c r="P149" s="30"/>
      <c r="Q149" s="30"/>
      <c r="R149" s="30"/>
      <c r="S149" s="30"/>
      <c r="T149" s="30"/>
    </row>
    <row r="150" spans="1:20" s="33" customFormat="1">
      <c r="A150" s="30"/>
      <c r="B150" s="30"/>
      <c r="C150" s="30"/>
      <c r="D150" s="30"/>
      <c r="E150" s="30"/>
      <c r="F150" s="30"/>
      <c r="G150" s="30"/>
      <c r="H150" s="30"/>
      <c r="I150" s="30"/>
      <c r="M150" s="30"/>
      <c r="N150" s="30"/>
      <c r="O150" s="30"/>
      <c r="P150" s="30"/>
      <c r="Q150" s="30"/>
      <c r="R150" s="30"/>
      <c r="S150" s="30"/>
      <c r="T150" s="30"/>
    </row>
    <row r="151" spans="1:20" s="33" customFormat="1">
      <c r="A151" s="30"/>
      <c r="B151" s="30"/>
      <c r="C151" s="30"/>
      <c r="D151" s="30"/>
      <c r="E151" s="30"/>
      <c r="F151" s="30"/>
      <c r="G151" s="30"/>
      <c r="H151" s="30"/>
      <c r="I151" s="30"/>
      <c r="M151" s="30"/>
      <c r="N151" s="30"/>
      <c r="O151" s="30"/>
      <c r="P151" s="30"/>
      <c r="Q151" s="30"/>
      <c r="R151" s="30"/>
      <c r="S151" s="30"/>
      <c r="T151" s="30"/>
    </row>
    <row r="152" spans="1:20" s="33" customFormat="1">
      <c r="A152" s="30"/>
      <c r="B152" s="30"/>
      <c r="C152" s="30"/>
      <c r="D152" s="30"/>
      <c r="E152" s="30"/>
      <c r="F152" s="30"/>
      <c r="G152" s="30"/>
      <c r="H152" s="30"/>
      <c r="I152" s="30"/>
      <c r="M152" s="30"/>
      <c r="N152" s="30"/>
      <c r="O152" s="30"/>
      <c r="P152" s="30"/>
      <c r="Q152" s="30"/>
      <c r="R152" s="30"/>
      <c r="S152" s="30"/>
      <c r="T152" s="30"/>
    </row>
    <row r="153" spans="1:20" s="33" customFormat="1">
      <c r="A153" s="30"/>
      <c r="B153" s="30"/>
      <c r="C153" s="30"/>
      <c r="D153" s="30"/>
      <c r="E153" s="30"/>
      <c r="F153" s="30"/>
      <c r="G153" s="30"/>
      <c r="H153" s="30"/>
      <c r="I153" s="30"/>
      <c r="M153" s="30"/>
      <c r="N153" s="30"/>
      <c r="O153" s="30"/>
      <c r="P153" s="30"/>
      <c r="Q153" s="30"/>
      <c r="R153" s="30"/>
      <c r="S153" s="30"/>
      <c r="T153" s="30"/>
    </row>
    <row r="154" spans="1:20" s="33" customFormat="1">
      <c r="A154" s="30"/>
      <c r="B154" s="30"/>
      <c r="C154" s="30"/>
      <c r="D154" s="30"/>
      <c r="E154" s="30"/>
      <c r="F154" s="30"/>
      <c r="G154" s="30"/>
      <c r="H154" s="30"/>
      <c r="I154" s="30"/>
      <c r="M154" s="30"/>
      <c r="N154" s="30"/>
      <c r="O154" s="30"/>
      <c r="P154" s="30"/>
      <c r="Q154" s="30"/>
      <c r="R154" s="30"/>
      <c r="S154" s="30"/>
      <c r="T154" s="30"/>
    </row>
    <row r="155" spans="1:20" s="33" customFormat="1">
      <c r="A155" s="30"/>
      <c r="B155" s="30"/>
      <c r="C155" s="30"/>
      <c r="D155" s="30"/>
      <c r="E155" s="30"/>
      <c r="F155" s="30"/>
      <c r="G155" s="30"/>
      <c r="H155" s="30"/>
      <c r="I155" s="30"/>
      <c r="M155" s="30"/>
      <c r="N155" s="30"/>
      <c r="O155" s="30"/>
      <c r="P155" s="30"/>
      <c r="Q155" s="30"/>
      <c r="R155" s="30"/>
      <c r="S155" s="30"/>
      <c r="T155" s="30"/>
    </row>
    <row r="156" spans="1:20" s="33" customFormat="1">
      <c r="A156" s="30"/>
      <c r="B156" s="30"/>
      <c r="C156" s="30"/>
      <c r="D156" s="30"/>
      <c r="E156" s="30"/>
      <c r="F156" s="30"/>
      <c r="G156" s="30"/>
      <c r="H156" s="30"/>
      <c r="I156" s="30"/>
      <c r="M156" s="30"/>
      <c r="N156" s="30"/>
      <c r="O156" s="30"/>
      <c r="P156" s="30"/>
      <c r="Q156" s="30"/>
      <c r="R156" s="30"/>
      <c r="S156" s="30"/>
      <c r="T156" s="30"/>
    </row>
    <row r="157" spans="1:20" s="33" customFormat="1">
      <c r="A157" s="30"/>
      <c r="B157" s="30"/>
      <c r="C157" s="30"/>
      <c r="D157" s="30"/>
      <c r="E157" s="30"/>
      <c r="F157" s="30"/>
      <c r="G157" s="30"/>
      <c r="H157" s="30"/>
      <c r="I157" s="30"/>
      <c r="M157" s="30"/>
      <c r="N157" s="30"/>
      <c r="O157" s="30"/>
      <c r="P157" s="30"/>
      <c r="Q157" s="30"/>
      <c r="R157" s="30"/>
      <c r="S157" s="30"/>
      <c r="T157" s="30"/>
    </row>
    <row r="158" spans="1:20" s="33" customFormat="1">
      <c r="A158" s="30"/>
      <c r="B158" s="30"/>
      <c r="C158" s="30"/>
      <c r="D158" s="30"/>
      <c r="E158" s="30"/>
      <c r="F158" s="30"/>
      <c r="G158" s="30"/>
      <c r="H158" s="30"/>
      <c r="I158" s="30"/>
      <c r="M158" s="30"/>
      <c r="N158" s="30"/>
      <c r="O158" s="30"/>
      <c r="P158" s="30"/>
      <c r="Q158" s="30"/>
      <c r="R158" s="30"/>
      <c r="S158" s="30"/>
      <c r="T158" s="30"/>
    </row>
    <row r="159" spans="1:20" s="33" customFormat="1">
      <c r="A159" s="30"/>
      <c r="B159" s="30"/>
      <c r="C159" s="30"/>
      <c r="D159" s="30"/>
      <c r="E159" s="30"/>
      <c r="F159" s="30"/>
      <c r="G159" s="30"/>
      <c r="H159" s="30"/>
      <c r="I159" s="30"/>
      <c r="M159" s="30"/>
      <c r="N159" s="30"/>
      <c r="O159" s="30"/>
      <c r="P159" s="30"/>
      <c r="Q159" s="30"/>
      <c r="R159" s="30"/>
      <c r="S159" s="30"/>
      <c r="T159" s="30"/>
    </row>
    <row r="160" spans="1:20" s="33" customFormat="1">
      <c r="A160" s="30"/>
      <c r="B160" s="30"/>
      <c r="C160" s="30"/>
      <c r="D160" s="30"/>
      <c r="E160" s="30"/>
      <c r="F160" s="30"/>
      <c r="G160" s="30"/>
      <c r="H160" s="30"/>
      <c r="I160" s="30"/>
      <c r="M160" s="30"/>
      <c r="N160" s="30"/>
      <c r="O160" s="30"/>
      <c r="P160" s="30"/>
      <c r="Q160" s="30"/>
      <c r="R160" s="30"/>
      <c r="S160" s="30"/>
      <c r="T160" s="30"/>
    </row>
    <row r="161" spans="1:20" s="33" customFormat="1">
      <c r="A161" s="30"/>
      <c r="B161" s="30"/>
      <c r="C161" s="30"/>
      <c r="D161" s="30"/>
      <c r="E161" s="30"/>
      <c r="F161" s="30"/>
      <c r="G161" s="30"/>
      <c r="H161" s="30"/>
      <c r="I161" s="30"/>
      <c r="M161" s="30"/>
      <c r="N161" s="30"/>
      <c r="O161" s="30"/>
      <c r="P161" s="30"/>
      <c r="Q161" s="30"/>
      <c r="R161" s="30"/>
      <c r="S161" s="30"/>
      <c r="T161" s="30"/>
    </row>
    <row r="162" spans="1:20" s="33" customFormat="1">
      <c r="A162" s="30"/>
      <c r="B162" s="30"/>
      <c r="C162" s="30"/>
      <c r="D162" s="30"/>
      <c r="E162" s="30"/>
      <c r="F162" s="30"/>
      <c r="G162" s="30"/>
      <c r="H162" s="30"/>
      <c r="I162" s="30"/>
      <c r="M162" s="30"/>
      <c r="N162" s="30"/>
      <c r="O162" s="30"/>
      <c r="P162" s="30"/>
      <c r="Q162" s="30"/>
      <c r="R162" s="30"/>
      <c r="S162" s="30"/>
      <c r="T162" s="30"/>
    </row>
    <row r="163" spans="1:20" s="33" customFormat="1">
      <c r="A163" s="30"/>
      <c r="B163" s="30"/>
      <c r="C163" s="30"/>
      <c r="D163" s="30"/>
      <c r="E163" s="30"/>
      <c r="F163" s="30"/>
      <c r="G163" s="30"/>
      <c r="H163" s="30"/>
      <c r="I163" s="30"/>
      <c r="M163" s="30"/>
      <c r="N163" s="30"/>
      <c r="O163" s="30"/>
      <c r="P163" s="30"/>
      <c r="Q163" s="30"/>
      <c r="R163" s="30"/>
      <c r="S163" s="30"/>
      <c r="T163" s="30"/>
    </row>
    <row r="164" spans="1:20" s="33" customFormat="1">
      <c r="A164" s="30"/>
      <c r="B164" s="30"/>
      <c r="C164" s="30"/>
      <c r="D164" s="30"/>
      <c r="E164" s="30"/>
      <c r="F164" s="30"/>
      <c r="G164" s="30"/>
      <c r="H164" s="30"/>
      <c r="I164" s="30"/>
      <c r="M164" s="30"/>
      <c r="N164" s="30"/>
      <c r="O164" s="30"/>
      <c r="P164" s="30"/>
      <c r="Q164" s="30"/>
      <c r="R164" s="30"/>
      <c r="S164" s="30"/>
      <c r="T164" s="30"/>
    </row>
    <row r="165" spans="1:20" s="33" customFormat="1">
      <c r="A165" s="30"/>
      <c r="B165" s="30"/>
      <c r="C165" s="30"/>
      <c r="D165" s="30"/>
      <c r="E165" s="30"/>
      <c r="F165" s="30"/>
      <c r="G165" s="30"/>
      <c r="H165" s="30"/>
      <c r="I165" s="30"/>
      <c r="M165" s="30"/>
      <c r="N165" s="30"/>
      <c r="O165" s="30"/>
      <c r="P165" s="30"/>
      <c r="Q165" s="30"/>
      <c r="R165" s="30"/>
      <c r="S165" s="30"/>
      <c r="T165" s="30"/>
    </row>
    <row r="166" spans="1:20" s="33" customFormat="1">
      <c r="A166" s="30"/>
      <c r="B166" s="30"/>
      <c r="C166" s="30"/>
      <c r="D166" s="30"/>
      <c r="E166" s="30"/>
      <c r="F166" s="30"/>
      <c r="G166" s="30"/>
      <c r="H166" s="30"/>
      <c r="I166" s="30"/>
      <c r="M166" s="30"/>
      <c r="N166" s="30"/>
      <c r="O166" s="30"/>
      <c r="P166" s="30"/>
      <c r="Q166" s="30"/>
      <c r="R166" s="30"/>
      <c r="S166" s="30"/>
      <c r="T166" s="30"/>
    </row>
    <row r="167" spans="1:20" s="33" customFormat="1">
      <c r="A167" s="30"/>
      <c r="B167" s="30"/>
      <c r="C167" s="30"/>
      <c r="D167" s="30"/>
      <c r="E167" s="30"/>
      <c r="F167" s="30"/>
      <c r="G167" s="30"/>
      <c r="H167" s="30"/>
      <c r="I167" s="30"/>
      <c r="M167" s="30"/>
      <c r="N167" s="30"/>
      <c r="O167" s="30"/>
      <c r="P167" s="30"/>
      <c r="Q167" s="30"/>
      <c r="R167" s="30"/>
      <c r="S167" s="30"/>
      <c r="T167" s="30"/>
    </row>
    <row r="168" spans="1:20" s="33" customFormat="1">
      <c r="A168" s="30"/>
      <c r="B168" s="30"/>
      <c r="C168" s="30"/>
      <c r="D168" s="30"/>
      <c r="E168" s="30"/>
      <c r="F168" s="30"/>
      <c r="G168" s="30"/>
      <c r="H168" s="30"/>
      <c r="I168" s="30"/>
      <c r="M168" s="30"/>
      <c r="N168" s="30"/>
      <c r="O168" s="30"/>
      <c r="P168" s="30"/>
      <c r="Q168" s="30"/>
      <c r="R168" s="30"/>
      <c r="S168" s="30"/>
      <c r="T168" s="30"/>
    </row>
    <row r="169" spans="1:20" s="33" customFormat="1">
      <c r="A169" s="30"/>
      <c r="B169" s="30"/>
      <c r="C169" s="30"/>
      <c r="D169" s="30"/>
      <c r="E169" s="30"/>
      <c r="F169" s="30"/>
      <c r="G169" s="30"/>
      <c r="H169" s="30"/>
      <c r="I169" s="30"/>
      <c r="M169" s="30"/>
      <c r="N169" s="30"/>
      <c r="O169" s="30"/>
      <c r="P169" s="30"/>
      <c r="Q169" s="30"/>
      <c r="R169" s="30"/>
      <c r="S169" s="30"/>
      <c r="T169" s="30"/>
    </row>
    <row r="170" spans="1:20" s="33" customFormat="1">
      <c r="A170" s="30"/>
      <c r="B170" s="30"/>
      <c r="C170" s="30"/>
      <c r="D170" s="30"/>
      <c r="E170" s="30"/>
      <c r="F170" s="30"/>
      <c r="G170" s="30"/>
      <c r="H170" s="30"/>
      <c r="I170" s="30"/>
      <c r="M170" s="30"/>
      <c r="Q170" s="30"/>
      <c r="R170" s="30"/>
      <c r="S170" s="30"/>
      <c r="T170" s="30"/>
    </row>
    <row r="171" spans="1:20" s="33" customFormat="1">
      <c r="A171" s="30"/>
      <c r="B171" s="30"/>
      <c r="C171" s="30"/>
      <c r="D171" s="30"/>
      <c r="E171" s="30"/>
      <c r="F171" s="30"/>
      <c r="G171" s="30"/>
      <c r="H171" s="30"/>
      <c r="I171" s="30"/>
      <c r="M171" s="30"/>
      <c r="Q171" s="30"/>
      <c r="R171" s="30"/>
      <c r="S171" s="30"/>
      <c r="T171" s="30"/>
    </row>
    <row r="172" spans="1:20" s="33" customFormat="1">
      <c r="A172" s="30"/>
      <c r="B172" s="30"/>
      <c r="C172" s="30"/>
      <c r="D172" s="30"/>
      <c r="E172" s="30"/>
      <c r="F172" s="30"/>
      <c r="G172" s="30"/>
      <c r="H172" s="30"/>
      <c r="I172" s="30"/>
      <c r="M172" s="30"/>
      <c r="Q172" s="30"/>
      <c r="R172" s="30"/>
      <c r="S172" s="30"/>
      <c r="T172" s="30"/>
    </row>
    <row r="173" spans="1:20" s="33" customFormat="1">
      <c r="A173" s="30"/>
      <c r="B173" s="30"/>
      <c r="C173" s="30"/>
      <c r="D173" s="30"/>
      <c r="E173" s="30"/>
      <c r="F173" s="30"/>
      <c r="G173" s="30"/>
      <c r="H173" s="30"/>
      <c r="I173" s="30"/>
      <c r="M173" s="30"/>
      <c r="Q173" s="30"/>
      <c r="R173" s="30"/>
      <c r="S173" s="30"/>
      <c r="T173" s="30"/>
    </row>
    <row r="174" spans="1:20" s="33" customFormat="1">
      <c r="A174" s="30"/>
      <c r="B174" s="30"/>
      <c r="C174" s="30"/>
      <c r="D174" s="30"/>
      <c r="E174" s="30"/>
      <c r="F174" s="30"/>
      <c r="G174" s="30"/>
      <c r="H174" s="30"/>
      <c r="I174" s="30"/>
      <c r="M174" s="30"/>
      <c r="Q174" s="30"/>
      <c r="R174" s="30"/>
      <c r="S174" s="30"/>
      <c r="T174" s="30"/>
    </row>
    <row r="175" spans="1:20" s="33" customFormat="1">
      <c r="A175" s="30"/>
      <c r="B175" s="30"/>
      <c r="C175" s="30"/>
      <c r="D175" s="30"/>
      <c r="E175" s="30"/>
      <c r="F175" s="30"/>
      <c r="G175" s="30"/>
      <c r="H175" s="30"/>
      <c r="I175" s="30"/>
      <c r="M175" s="30"/>
      <c r="Q175" s="30"/>
      <c r="R175" s="30"/>
      <c r="S175" s="30"/>
      <c r="T175" s="30"/>
    </row>
    <row r="176" spans="1:20" s="33" customFormat="1">
      <c r="A176" s="30"/>
      <c r="B176" s="30"/>
      <c r="C176" s="30"/>
      <c r="D176" s="30"/>
      <c r="E176" s="30"/>
      <c r="F176" s="30"/>
      <c r="G176" s="30"/>
      <c r="H176" s="30"/>
      <c r="I176" s="30"/>
      <c r="M176" s="30"/>
      <c r="Q176" s="30"/>
      <c r="R176" s="30"/>
      <c r="S176" s="30"/>
      <c r="T176" s="30"/>
    </row>
    <row r="177" spans="1:20" s="33" customFormat="1">
      <c r="A177" s="30"/>
      <c r="B177" s="30"/>
      <c r="C177" s="30"/>
      <c r="D177" s="30"/>
      <c r="E177" s="30"/>
      <c r="F177" s="30"/>
      <c r="G177" s="30"/>
      <c r="H177" s="30"/>
      <c r="I177" s="30"/>
      <c r="M177" s="30"/>
      <c r="Q177" s="30"/>
      <c r="R177" s="30"/>
      <c r="S177" s="30"/>
      <c r="T177" s="30"/>
    </row>
    <row r="178" spans="1:20" s="33" customFormat="1"/>
    <row r="179" spans="1:20" s="33" customFormat="1"/>
    <row r="180" spans="1:20" s="33" customFormat="1"/>
    <row r="181" spans="1:20" s="33" customFormat="1"/>
    <row r="182" spans="1:20" s="33" customFormat="1"/>
    <row r="183" spans="1:20" s="33" customFormat="1"/>
    <row r="184" spans="1:20" s="33" customFormat="1"/>
    <row r="185" spans="1:20" s="33" customFormat="1"/>
    <row r="186" spans="1:20" s="33" customFormat="1"/>
    <row r="187" spans="1:20" s="33" customFormat="1"/>
    <row r="188" spans="1:20" s="33" customFormat="1"/>
    <row r="189" spans="1:20" s="33" customFormat="1"/>
    <row r="190" spans="1:20" s="33" customFormat="1"/>
    <row r="191" spans="1:20" s="33" customFormat="1"/>
    <row r="192" spans="1:20"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sheetData>
  <sheetProtection password="E642" sheet="1" objects="1" scenarios="1" selectLockedCells="1"/>
  <mergeCells count="38">
    <mergeCell ref="F147:H147"/>
    <mergeCell ref="J136:L136"/>
    <mergeCell ref="J140:L140"/>
    <mergeCell ref="B21:D24"/>
    <mergeCell ref="N127:P127"/>
    <mergeCell ref="N132:P132"/>
    <mergeCell ref="N135:P135"/>
    <mergeCell ref="F142:H142"/>
    <mergeCell ref="F123:H123"/>
    <mergeCell ref="J126:L126"/>
    <mergeCell ref="F125:H125"/>
    <mergeCell ref="F130:H130"/>
    <mergeCell ref="F132:H132"/>
    <mergeCell ref="J130:L130"/>
    <mergeCell ref="N118:P118"/>
    <mergeCell ref="B43:D43"/>
    <mergeCell ref="R112:T112"/>
    <mergeCell ref="N112:P112"/>
    <mergeCell ref="F118:H118"/>
    <mergeCell ref="B121:D121"/>
    <mergeCell ref="F121:H121"/>
    <mergeCell ref="F46:H46"/>
    <mergeCell ref="J41:L41"/>
    <mergeCell ref="J112:L112"/>
    <mergeCell ref="B112:D112"/>
    <mergeCell ref="F112:H112"/>
    <mergeCell ref="R26:T26"/>
    <mergeCell ref="B42:D42"/>
    <mergeCell ref="N43:P43"/>
    <mergeCell ref="B26:D26"/>
    <mergeCell ref="F26:H26"/>
    <mergeCell ref="J26:L26"/>
    <mergeCell ref="N26:P26"/>
    <mergeCell ref="N30:P30"/>
    <mergeCell ref="J36:L36"/>
    <mergeCell ref="B36:D36"/>
    <mergeCell ref="J39:L39"/>
    <mergeCell ref="F40:H40"/>
  </mergeCells>
  <phoneticPr fontId="1" type="noConversion"/>
  <pageMargins left="0.7" right="0.7" top="0.75" bottom="0.75" header="0.3" footer="0.3"/>
  <pageSetup paperSize="9" orientation="portrait" r:id="rId1"/>
  <legacyDrawing r:id="rId2"/>
  <oleObjects>
    <oleObject progId="Visio.Drawing.11" shapeId="8194" r:id="rId3"/>
    <oleObject progId="Visio.Drawing.11" shapeId="8260" r:id="rId4"/>
    <oleObject progId="Visio.Drawing.11" shapeId="8282" r:id="rId5"/>
  </oleObjects>
</worksheet>
</file>

<file path=xl/worksheets/sheet5.xml><?xml version="1.0" encoding="utf-8"?>
<worksheet xmlns="http://schemas.openxmlformats.org/spreadsheetml/2006/main" xmlns:r="http://schemas.openxmlformats.org/officeDocument/2006/relationships">
  <dimension ref="A15:V285"/>
  <sheetViews>
    <sheetView zoomScale="70" zoomScaleNormal="70" workbookViewId="0">
      <selection activeCell="C27" sqref="C27"/>
    </sheetView>
  </sheetViews>
  <sheetFormatPr defaultColWidth="9" defaultRowHeight="14.4"/>
  <cols>
    <col min="1" max="1" width="9" style="7"/>
    <col min="2" max="2" width="20.33203125" style="7" customWidth="1"/>
    <col min="3" max="3" width="11.44140625" style="7" bestFit="1" customWidth="1"/>
    <col min="4" max="4" width="9" style="7"/>
    <col min="5" max="5" width="8.33203125" style="7" customWidth="1"/>
    <col min="6" max="6" width="20.6640625" style="7" customWidth="1"/>
    <col min="7" max="7" width="11.21875" style="7" customWidth="1"/>
    <col min="8" max="8" width="9" style="7"/>
    <col min="9" max="9" width="9.44140625" style="7" customWidth="1"/>
    <col min="10" max="10" width="20.21875" style="7" bestFit="1" customWidth="1"/>
    <col min="11" max="11" width="12.33203125" style="7" customWidth="1"/>
    <col min="12" max="13" width="9" style="7"/>
    <col min="14" max="14" width="20.77734375" style="7" customWidth="1"/>
    <col min="15" max="15" width="11.33203125" style="7" customWidth="1"/>
    <col min="16" max="17" width="9" style="7"/>
    <col min="18" max="18" width="9.21875" style="7" customWidth="1"/>
    <col min="19" max="19" width="9.88671875" style="7" customWidth="1"/>
    <col min="20" max="20" width="9.77734375" style="7" customWidth="1"/>
    <col min="21" max="22" width="9.109375" style="7" customWidth="1"/>
    <col min="23" max="23" width="9" style="7" customWidth="1"/>
    <col min="24" max="25" width="9.21875" style="7" customWidth="1"/>
    <col min="26" max="16384" width="9" style="7"/>
  </cols>
  <sheetData>
    <row r="15" ht="17.25" customHeight="1"/>
    <row r="16" ht="17.25" customHeight="1"/>
    <row r="17" spans="2:16" ht="17.25" customHeight="1"/>
    <row r="18" spans="2:16" ht="16.5" customHeight="1"/>
    <row r="19" spans="2:16" ht="16.5" customHeight="1"/>
    <row r="20" spans="2:16" ht="16.5" customHeight="1"/>
    <row r="21" spans="2:16">
      <c r="B21" s="80" t="s">
        <v>294</v>
      </c>
      <c r="C21" s="81"/>
      <c r="D21" s="82"/>
    </row>
    <row r="22" spans="2:16">
      <c r="B22" s="83"/>
      <c r="C22" s="84"/>
      <c r="D22" s="85"/>
    </row>
    <row r="23" spans="2:16">
      <c r="B23" s="83"/>
      <c r="C23" s="84"/>
      <c r="D23" s="85"/>
    </row>
    <row r="24" spans="2:16">
      <c r="B24" s="86"/>
      <c r="C24" s="87"/>
      <c r="D24" s="88"/>
    </row>
    <row r="26" spans="2:16" ht="15.6">
      <c r="B26" s="67" t="s">
        <v>254</v>
      </c>
      <c r="C26" s="67"/>
      <c r="D26" s="67"/>
      <c r="E26" s="14"/>
      <c r="F26" s="67" t="s">
        <v>43</v>
      </c>
      <c r="G26" s="67"/>
      <c r="H26" s="67"/>
      <c r="J26" s="67" t="s">
        <v>76</v>
      </c>
      <c r="K26" s="67"/>
      <c r="L26" s="67"/>
      <c r="N26" s="67" t="s">
        <v>44</v>
      </c>
      <c r="O26" s="67"/>
      <c r="P26" s="67"/>
    </row>
    <row r="27" spans="2:16" ht="15.6">
      <c r="B27" s="2" t="s">
        <v>45</v>
      </c>
      <c r="C27" s="41">
        <v>90</v>
      </c>
      <c r="D27" s="2" t="s">
        <v>4</v>
      </c>
      <c r="E27" s="15"/>
      <c r="F27" s="2" t="s">
        <v>46</v>
      </c>
      <c r="G27" s="43">
        <v>25</v>
      </c>
      <c r="H27" s="2" t="s">
        <v>47</v>
      </c>
      <c r="J27" s="16" t="s">
        <v>267</v>
      </c>
      <c r="K27" s="18">
        <f>Ipk_max_final*RCS</f>
        <v>0.64300701898179946</v>
      </c>
      <c r="L27" s="17" t="s">
        <v>4</v>
      </c>
      <c r="N27" s="16" t="s">
        <v>305</v>
      </c>
      <c r="O27" s="5">
        <f>Rvin1*10^-6</f>
        <v>0.62</v>
      </c>
      <c r="P27" s="17" t="s">
        <v>48</v>
      </c>
    </row>
    <row r="28" spans="2:16" ht="15.6">
      <c r="B28" s="2" t="s">
        <v>49</v>
      </c>
      <c r="C28" s="41">
        <v>110</v>
      </c>
      <c r="D28" s="2" t="s">
        <v>4</v>
      </c>
      <c r="F28" s="2" t="s">
        <v>50</v>
      </c>
      <c r="G28" s="41">
        <v>60</v>
      </c>
      <c r="H28" s="2" t="s">
        <v>51</v>
      </c>
      <c r="J28" s="16" t="s">
        <v>77</v>
      </c>
      <c r="K28" s="20">
        <f>0.5/(KEAI*Rated_Iout)</f>
        <v>0.7246376811594204</v>
      </c>
      <c r="L28" s="17" t="s">
        <v>6</v>
      </c>
      <c r="N28" s="16" t="s">
        <v>52</v>
      </c>
      <c r="O28" s="3">
        <f>Rvin2*10^-3</f>
        <v>74.305681980868258</v>
      </c>
      <c r="P28" s="17" t="s">
        <v>53</v>
      </c>
    </row>
    <row r="29" spans="2:16" ht="15.6">
      <c r="B29" s="2" t="s">
        <v>54</v>
      </c>
      <c r="C29" s="41">
        <v>132</v>
      </c>
      <c r="D29" s="2" t="s">
        <v>4</v>
      </c>
      <c r="E29" s="15"/>
      <c r="F29" s="16" t="s">
        <v>55</v>
      </c>
      <c r="G29" s="19">
        <f>G102*10^6</f>
        <v>4.166666666666667</v>
      </c>
      <c r="H29" s="17" t="s">
        <v>56</v>
      </c>
      <c r="J29" s="2" t="s">
        <v>225</v>
      </c>
      <c r="K29" s="41">
        <v>90</v>
      </c>
      <c r="L29" s="2" t="s">
        <v>224</v>
      </c>
      <c r="N29" s="16" t="s">
        <v>261</v>
      </c>
      <c r="O29" s="3">
        <v>100</v>
      </c>
      <c r="P29" s="17" t="s">
        <v>262</v>
      </c>
    </row>
    <row r="30" spans="2:16" ht="15.6">
      <c r="B30" s="2" t="s">
        <v>57</v>
      </c>
      <c r="C30" s="41">
        <v>60</v>
      </c>
      <c r="D30" s="2" t="s">
        <v>5</v>
      </c>
      <c r="F30" s="2" t="s">
        <v>29</v>
      </c>
      <c r="G30" s="41">
        <v>23.7</v>
      </c>
      <c r="H30" s="2" t="s">
        <v>58</v>
      </c>
      <c r="J30" s="16" t="s">
        <v>229</v>
      </c>
      <c r="K30" s="3">
        <f>IF(Vcs.pk.ini&gt;0.15,IF(Rcomp.total-Rcomp.int&gt;0,Rcomp.total-Rcomp.int,0),IF(Rcomp.total-Rcomp.int&gt;50,Rcomp.total-Rcomp.int,50))</f>
        <v>213.97831812802991</v>
      </c>
      <c r="L30" s="17" t="s">
        <v>6</v>
      </c>
      <c r="N30" s="67" t="s">
        <v>192</v>
      </c>
      <c r="O30" s="67"/>
      <c r="P30" s="67"/>
    </row>
    <row r="31" spans="2:16" ht="15">
      <c r="B31" s="2" t="s">
        <v>60</v>
      </c>
      <c r="C31" s="41">
        <v>35</v>
      </c>
      <c r="D31" s="2" t="s">
        <v>4</v>
      </c>
      <c r="E31" s="15"/>
      <c r="F31" s="2" t="s">
        <v>61</v>
      </c>
      <c r="G31" s="44">
        <v>0.3</v>
      </c>
      <c r="H31" s="2"/>
      <c r="J31" s="2" t="s">
        <v>78</v>
      </c>
      <c r="K31" s="43">
        <v>1</v>
      </c>
      <c r="L31" s="2" t="s">
        <v>79</v>
      </c>
      <c r="N31" s="2" t="s">
        <v>97</v>
      </c>
      <c r="O31" s="41">
        <v>200</v>
      </c>
      <c r="P31" s="2" t="s">
        <v>66</v>
      </c>
    </row>
    <row r="32" spans="2:16" ht="15.6">
      <c r="B32" s="2" t="s">
        <v>62</v>
      </c>
      <c r="C32" s="41">
        <v>40</v>
      </c>
      <c r="D32" s="2" t="s">
        <v>4</v>
      </c>
      <c r="E32" s="15"/>
      <c r="F32" s="16" t="s">
        <v>63</v>
      </c>
      <c r="G32" s="5">
        <f>G100*1000</f>
        <v>0.59765625000000011</v>
      </c>
      <c r="H32" s="17" t="s">
        <v>64</v>
      </c>
      <c r="J32" s="16" t="s">
        <v>81</v>
      </c>
      <c r="K32" s="3">
        <f>Rvs1_*0.001</f>
        <v>315.22388059701484</v>
      </c>
      <c r="L32" s="17" t="s">
        <v>53</v>
      </c>
      <c r="N32" s="2" t="s">
        <v>80</v>
      </c>
      <c r="O32" s="41">
        <v>100</v>
      </c>
      <c r="P32" s="2" t="s">
        <v>66</v>
      </c>
    </row>
    <row r="33" spans="1:22" ht="15.6">
      <c r="B33" s="2" t="s">
        <v>67</v>
      </c>
      <c r="C33" s="41">
        <v>42</v>
      </c>
      <c r="D33" s="2" t="s">
        <v>4</v>
      </c>
      <c r="E33" s="15"/>
      <c r="F33" s="16" t="s">
        <v>72</v>
      </c>
      <c r="G33" s="19">
        <f>Ipk_max_final*Lm/Ae/BMAX</f>
        <v>74.58932290997339</v>
      </c>
      <c r="H33" s="17" t="s">
        <v>73</v>
      </c>
      <c r="J33" s="16" t="s">
        <v>82</v>
      </c>
      <c r="K33" s="3">
        <f>Rvs2_*0.001</f>
        <v>40.235442505780945</v>
      </c>
      <c r="L33" s="17" t="s">
        <v>53</v>
      </c>
      <c r="N33" s="2" t="s">
        <v>309</v>
      </c>
      <c r="O33" s="41">
        <v>1</v>
      </c>
      <c r="P33" s="2" t="s">
        <v>53</v>
      </c>
    </row>
    <row r="34" spans="1:22" ht="15.6">
      <c r="B34" s="2" t="s">
        <v>68</v>
      </c>
      <c r="C34" s="41">
        <v>150</v>
      </c>
      <c r="D34" s="2" t="s">
        <v>69</v>
      </c>
      <c r="F34" s="2" t="s">
        <v>173</v>
      </c>
      <c r="G34" s="41">
        <v>60</v>
      </c>
      <c r="H34" s="2" t="s">
        <v>73</v>
      </c>
      <c r="J34" s="2" t="s">
        <v>306</v>
      </c>
      <c r="K34" s="41">
        <v>10</v>
      </c>
      <c r="L34" s="2" t="s">
        <v>262</v>
      </c>
      <c r="N34" s="16" t="s">
        <v>318</v>
      </c>
      <c r="O34" s="3">
        <f>RRIVC</f>
        <v>49.227897656039197</v>
      </c>
      <c r="P34" s="17" t="s">
        <v>6</v>
      </c>
    </row>
    <row r="35" spans="1:22" ht="15.6">
      <c r="A35" s="21"/>
      <c r="B35" s="16" t="s">
        <v>70</v>
      </c>
      <c r="C35" s="5">
        <f>Rated_Iout*Rated_Vout</f>
        <v>6</v>
      </c>
      <c r="D35" s="16" t="s">
        <v>22</v>
      </c>
      <c r="F35" s="16" t="s">
        <v>177</v>
      </c>
      <c r="G35" s="19">
        <f>Np*Nap_i</f>
        <v>35.714285714285715</v>
      </c>
      <c r="H35" s="17" t="s">
        <v>73</v>
      </c>
      <c r="J35" s="67" t="s">
        <v>74</v>
      </c>
      <c r="K35" s="67"/>
      <c r="L35" s="67"/>
      <c r="M35" s="22"/>
      <c r="N35" s="2" t="s">
        <v>194</v>
      </c>
      <c r="O35" s="41">
        <v>50</v>
      </c>
      <c r="P35" s="2" t="s">
        <v>320</v>
      </c>
      <c r="Q35" s="22"/>
    </row>
    <row r="36" spans="1:22" ht="15.6">
      <c r="A36" s="21"/>
      <c r="B36" s="67" t="s">
        <v>71</v>
      </c>
      <c r="C36" s="67"/>
      <c r="D36" s="67"/>
      <c r="E36" s="15"/>
      <c r="F36" s="2" t="s">
        <v>178</v>
      </c>
      <c r="G36" s="41">
        <v>36</v>
      </c>
      <c r="H36" s="2" t="s">
        <v>73</v>
      </c>
      <c r="J36" s="16" t="s">
        <v>145</v>
      </c>
      <c r="K36" s="3">
        <f>RHOLD*0.001</f>
        <v>19.217391304347831</v>
      </c>
      <c r="L36" s="17" t="s">
        <v>53</v>
      </c>
      <c r="M36" s="22"/>
      <c r="N36" s="16" t="s">
        <v>307</v>
      </c>
      <c r="O36" s="3">
        <f>5/RRBLD.F*1000</f>
        <v>100</v>
      </c>
      <c r="P36" s="17" t="s">
        <v>69</v>
      </c>
      <c r="Q36" s="22"/>
    </row>
    <row r="37" spans="1:22" ht="15.6">
      <c r="A37" s="21"/>
      <c r="B37" s="2" t="s">
        <v>303</v>
      </c>
      <c r="C37" s="41">
        <v>130</v>
      </c>
      <c r="D37" s="4" t="s">
        <v>75</v>
      </c>
      <c r="E37" s="15"/>
      <c r="F37" s="67" t="s">
        <v>207</v>
      </c>
      <c r="G37" s="67"/>
      <c r="H37" s="67"/>
      <c r="J37" s="2" t="s">
        <v>184</v>
      </c>
      <c r="K37" s="43">
        <v>1</v>
      </c>
      <c r="L37" s="2" t="s">
        <v>66</v>
      </c>
      <c r="N37" s="2" t="s">
        <v>195</v>
      </c>
      <c r="O37" s="41">
        <v>96</v>
      </c>
      <c r="P37" s="2" t="s">
        <v>69</v>
      </c>
    </row>
    <row r="38" spans="1:22" ht="15.6">
      <c r="A38" s="21"/>
      <c r="B38" s="16" t="s">
        <v>297</v>
      </c>
      <c r="C38" s="3">
        <f>C105*1000</f>
        <v>51.97222688353704</v>
      </c>
      <c r="D38" s="1" t="s">
        <v>69</v>
      </c>
      <c r="E38" s="15"/>
      <c r="F38" s="1" t="s">
        <v>265</v>
      </c>
      <c r="G38" s="3">
        <f>peak_Vin_max+Max_Vout</f>
        <v>228.67619023324855</v>
      </c>
      <c r="H38" s="1" t="s">
        <v>4</v>
      </c>
      <c r="J38" s="67" t="s">
        <v>191</v>
      </c>
      <c r="K38" s="67"/>
      <c r="L38" s="67"/>
      <c r="N38" s="16" t="s">
        <v>196</v>
      </c>
      <c r="O38" s="3">
        <f>RRBLD.F*Imax.ivc/40/10^-3</f>
        <v>120</v>
      </c>
      <c r="P38" s="17" t="s">
        <v>53</v>
      </c>
    </row>
    <row r="39" spans="1:22" ht="15.6">
      <c r="A39" s="21"/>
      <c r="B39" s="2" t="s">
        <v>253</v>
      </c>
      <c r="C39" s="42">
        <v>52</v>
      </c>
      <c r="D39" s="2" t="s">
        <v>69</v>
      </c>
      <c r="F39" s="1" t="s">
        <v>266</v>
      </c>
      <c r="G39" s="5">
        <f>Ipk_max_final</f>
        <v>0.88734968619488319</v>
      </c>
      <c r="H39" s="1" t="s">
        <v>7</v>
      </c>
      <c r="J39" s="16" t="s">
        <v>188</v>
      </c>
      <c r="K39" s="3" t="s">
        <v>123</v>
      </c>
      <c r="L39" s="17"/>
      <c r="N39" s="16" t="s">
        <v>197</v>
      </c>
      <c r="O39" s="3">
        <f>13/Imax.ivc-RRBLD.F</f>
        <v>85.416666666666657</v>
      </c>
      <c r="P39" s="17" t="s">
        <v>6</v>
      </c>
    </row>
    <row r="40" spans="1:22" ht="15.6">
      <c r="A40" s="21"/>
      <c r="F40" s="1" t="s">
        <v>215</v>
      </c>
      <c r="G40" s="5">
        <f>Isw.rms</f>
        <v>0.16307384078089959</v>
      </c>
      <c r="H40" s="1" t="s">
        <v>7</v>
      </c>
      <c r="J40" s="67" t="s">
        <v>59</v>
      </c>
      <c r="K40" s="67"/>
      <c r="L40" s="67"/>
      <c r="N40" s="16" t="s">
        <v>263</v>
      </c>
      <c r="O40" s="3">
        <f>IF(Rated_Vin&gt;170, 100, 50)</f>
        <v>50</v>
      </c>
      <c r="P40" s="17" t="s">
        <v>6</v>
      </c>
    </row>
    <row r="41" spans="1:22" ht="15.6">
      <c r="A41" s="21"/>
      <c r="E41" s="15"/>
      <c r="F41" s="1" t="s">
        <v>218</v>
      </c>
      <c r="G41" s="5">
        <f>Rated_Iout</f>
        <v>0.15</v>
      </c>
      <c r="H41" s="1" t="s">
        <v>7</v>
      </c>
      <c r="J41" s="16" t="s">
        <v>95</v>
      </c>
      <c r="K41" s="3">
        <f>Rdim1*0.001</f>
        <v>90.282943143812702</v>
      </c>
      <c r="L41" s="17" t="s">
        <v>53</v>
      </c>
      <c r="N41" s="2" t="s">
        <v>311</v>
      </c>
      <c r="O41" s="41">
        <v>68</v>
      </c>
      <c r="P41" s="2" t="s">
        <v>66</v>
      </c>
    </row>
    <row r="42" spans="1:22" ht="15.6">
      <c r="A42" s="23"/>
      <c r="B42" s="78" t="s">
        <v>257</v>
      </c>
      <c r="C42" s="78"/>
      <c r="D42" s="78"/>
      <c r="E42" s="15"/>
      <c r="J42" s="16" t="s">
        <v>96</v>
      </c>
      <c r="K42" s="3">
        <f>Rdim2*0.001</f>
        <v>23.947826086956532</v>
      </c>
      <c r="L42" s="17" t="s">
        <v>53</v>
      </c>
      <c r="N42" s="16" t="s">
        <v>310</v>
      </c>
      <c r="O42" s="3">
        <f>IF(Vcs.pk.ini&lt;0.15, IF( (O38*0.04)/(0.15-Vcs.pk.ini)*Rcomp*0.001 &gt; 100, 100, (O38*0.04)/(0.15-Vcs.pk.ini)*Rcomp*0.001 ), "open")</f>
        <v>18.949706843152384</v>
      </c>
      <c r="P42" s="17" t="s">
        <v>317</v>
      </c>
    </row>
    <row r="43" spans="1:22" ht="15.6">
      <c r="A43" s="23"/>
      <c r="B43" s="79" t="s">
        <v>258</v>
      </c>
      <c r="C43" s="79"/>
      <c r="D43" s="79"/>
      <c r="E43" s="23"/>
      <c r="J43" s="16" t="s">
        <v>65</v>
      </c>
      <c r="K43" s="3">
        <f>K127*10^9</f>
        <v>437.71043771043776</v>
      </c>
      <c r="L43" s="17" t="s">
        <v>66</v>
      </c>
      <c r="N43" s="67" t="s">
        <v>193</v>
      </c>
      <c r="O43" s="67"/>
      <c r="P43" s="67"/>
    </row>
    <row r="44" spans="1:22" ht="15.6">
      <c r="A44" s="23"/>
      <c r="M44" s="24"/>
      <c r="N44" s="50" t="s">
        <v>450</v>
      </c>
      <c r="O44" s="5">
        <f>O27</f>
        <v>0.62</v>
      </c>
      <c r="P44" s="17" t="s">
        <v>48</v>
      </c>
      <c r="Q44" s="24"/>
    </row>
    <row r="45" spans="1:22" ht="15.6">
      <c r="A45" s="23"/>
      <c r="M45" s="24"/>
      <c r="N45" s="16" t="s">
        <v>199</v>
      </c>
      <c r="O45" s="3">
        <v>1</v>
      </c>
      <c r="P45" s="17" t="s">
        <v>53</v>
      </c>
      <c r="Q45" s="24"/>
    </row>
    <row r="46" spans="1:22" ht="15.6">
      <c r="A46" s="23"/>
      <c r="M46" s="24"/>
      <c r="N46" s="16" t="s">
        <v>200</v>
      </c>
      <c r="O46" s="19">
        <v>6.8</v>
      </c>
      <c r="P46" s="17" t="s">
        <v>66</v>
      </c>
      <c r="Q46" s="24"/>
    </row>
    <row r="47" spans="1:22">
      <c r="A47" s="30"/>
      <c r="B47" s="28"/>
      <c r="C47" s="28"/>
      <c r="D47" s="28"/>
      <c r="E47" s="28"/>
      <c r="I47" s="28"/>
      <c r="M47" s="28"/>
      <c r="N47" s="28"/>
      <c r="O47" s="28"/>
      <c r="P47" s="28"/>
      <c r="Q47" s="28"/>
      <c r="R47" s="29"/>
      <c r="S47" s="29"/>
      <c r="T47" s="29"/>
      <c r="U47" s="29"/>
      <c r="V47" s="29"/>
    </row>
    <row r="48" spans="1:22">
      <c r="A48" s="30"/>
      <c r="B48" s="28"/>
      <c r="C48" s="28"/>
      <c r="D48" s="28"/>
      <c r="E48" s="28"/>
      <c r="I48" s="28"/>
      <c r="M48" s="28"/>
      <c r="N48" s="28"/>
      <c r="O48" s="28"/>
      <c r="P48" s="28"/>
      <c r="Q48" s="28"/>
      <c r="R48" s="29"/>
      <c r="S48" s="29"/>
      <c r="T48" s="29"/>
      <c r="U48" s="29"/>
      <c r="V48" s="29"/>
    </row>
    <row r="49" spans="1:17" s="33" customFormat="1">
      <c r="A49" s="30"/>
      <c r="B49" s="30"/>
      <c r="C49" s="30"/>
      <c r="D49" s="30"/>
      <c r="E49" s="30"/>
      <c r="I49" s="30"/>
      <c r="M49" s="30"/>
      <c r="Q49" s="30"/>
    </row>
    <row r="50" spans="1:17" s="33" customFormat="1">
      <c r="A50" s="30"/>
      <c r="B50" s="30"/>
      <c r="C50" s="30"/>
      <c r="D50" s="30"/>
      <c r="E50" s="30"/>
      <c r="I50" s="30"/>
      <c r="M50" s="30"/>
      <c r="Q50" s="30"/>
    </row>
    <row r="51" spans="1:17" s="33" customFormat="1"/>
    <row r="52" spans="1:17" s="33" customFormat="1"/>
    <row r="53" spans="1:17" s="33" customFormat="1"/>
    <row r="54" spans="1:17" s="33" customFormat="1"/>
    <row r="55" spans="1:17" s="33" customFormat="1"/>
    <row r="56" spans="1:17" s="33" customFormat="1"/>
    <row r="57" spans="1:17" s="33" customFormat="1"/>
    <row r="58" spans="1:17" s="33" customFormat="1"/>
    <row r="59" spans="1:17" s="33" customFormat="1"/>
    <row r="60" spans="1:17" s="33" customFormat="1"/>
    <row r="61" spans="1:17" s="33" customFormat="1"/>
    <row r="62" spans="1:17" s="33" customFormat="1"/>
    <row r="63" spans="1:17" s="33" customFormat="1"/>
    <row r="64" spans="1:17"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pans="1:17" s="33" customFormat="1"/>
    <row r="82" spans="1:17" s="33" customFormat="1"/>
    <row r="83" spans="1:17" s="33" customFormat="1"/>
    <row r="84" spans="1:17" s="33" customFormat="1"/>
    <row r="85" spans="1:17" s="33" customFormat="1"/>
    <row r="86" spans="1:17" s="33" customFormat="1"/>
    <row r="87" spans="1:17" s="33" customFormat="1"/>
    <row r="88" spans="1:17" s="33" customFormat="1"/>
    <row r="89" spans="1:17" s="33" customFormat="1"/>
    <row r="90" spans="1:17" s="33" customFormat="1"/>
    <row r="91" spans="1:17" s="33" customFormat="1"/>
    <row r="92" spans="1:17" s="33" customFormat="1"/>
    <row r="93" spans="1:17" s="33" customFormat="1">
      <c r="A93" s="46"/>
    </row>
    <row r="94" spans="1:17" s="33" customFormat="1">
      <c r="A94" s="46"/>
    </row>
    <row r="95" spans="1:17" s="33" customFormat="1">
      <c r="A95" s="46"/>
      <c r="B95" s="65" t="s">
        <v>331</v>
      </c>
      <c r="C95" s="66"/>
      <c r="D95" s="66"/>
      <c r="F95" s="65" t="s">
        <v>332</v>
      </c>
      <c r="G95" s="66"/>
      <c r="H95" s="66"/>
      <c r="J95" s="65" t="s">
        <v>333</v>
      </c>
      <c r="K95" s="66"/>
      <c r="L95" s="66"/>
      <c r="N95" s="65" t="s">
        <v>334</v>
      </c>
      <c r="O95" s="65"/>
      <c r="P95" s="65"/>
      <c r="Q95" s="47"/>
    </row>
    <row r="96" spans="1:17" s="33" customFormat="1" ht="15.6">
      <c r="A96" s="46"/>
      <c r="B96" s="34" t="s">
        <v>335</v>
      </c>
      <c r="C96" s="34">
        <f>Min_Vin*2^0.5</f>
        <v>127.27922061357856</v>
      </c>
      <c r="D96" s="34" t="s">
        <v>336</v>
      </c>
      <c r="F96" s="34" t="s">
        <v>337</v>
      </c>
      <c r="G96" s="34">
        <f>G28*1000</f>
        <v>60000</v>
      </c>
      <c r="H96" s="34" t="s">
        <v>338</v>
      </c>
      <c r="J96" s="34" t="s">
        <v>339</v>
      </c>
      <c r="K96" s="34">
        <v>130</v>
      </c>
      <c r="L96" s="35" t="s">
        <v>320</v>
      </c>
      <c r="N96" s="34" t="s">
        <v>340</v>
      </c>
      <c r="O96" s="34">
        <f>AVERAGE(peak_Vin_min,peak_Vin_max)</f>
        <v>156.97770542341357</v>
      </c>
      <c r="P96" s="35" t="s">
        <v>336</v>
      </c>
      <c r="Q96" s="47"/>
    </row>
    <row r="97" spans="1:17" s="33" customFormat="1" ht="15.6">
      <c r="A97" s="46"/>
      <c r="B97" s="34" t="s">
        <v>341</v>
      </c>
      <c r="C97" s="34">
        <f>Rated_Vin*(2)^0.5</f>
        <v>155.56349186104046</v>
      </c>
      <c r="D97" s="34" t="s">
        <v>336</v>
      </c>
      <c r="F97" s="34" t="s">
        <v>342</v>
      </c>
      <c r="G97" s="34">
        <f>1/Switch_freq</f>
        <v>1.6666666666666667E-5</v>
      </c>
      <c r="H97" s="34" t="s">
        <v>343</v>
      </c>
      <c r="J97" s="34" t="s">
        <v>344</v>
      </c>
      <c r="K97" s="34">
        <f>K29*10^-9</f>
        <v>9.0000000000000012E-8</v>
      </c>
      <c r="L97" s="35" t="s">
        <v>343</v>
      </c>
      <c r="N97" s="34" t="s">
        <v>345</v>
      </c>
      <c r="O97" s="34">
        <v>16.8</v>
      </c>
      <c r="P97" s="35" t="s">
        <v>336</v>
      </c>
      <c r="Q97" s="47"/>
    </row>
    <row r="98" spans="1:17" s="33" customFormat="1" ht="15.6">
      <c r="A98" s="46"/>
      <c r="B98" s="34" t="s">
        <v>346</v>
      </c>
      <c r="C98" s="34">
        <f>Max_Vin*2^0.5</f>
        <v>186.67619023324855</v>
      </c>
      <c r="D98" s="34" t="s">
        <v>336</v>
      </c>
      <c r="F98" s="34" t="s">
        <v>347</v>
      </c>
      <c r="G98" s="34">
        <v>70000</v>
      </c>
      <c r="H98" s="34" t="s">
        <v>338</v>
      </c>
      <c r="J98" s="34" t="s">
        <v>348</v>
      </c>
      <c r="K98" s="34">
        <f>6*Tpd*RCS*Rvs1_/(Nap*Lm)</f>
        <v>343.97831812802991</v>
      </c>
      <c r="L98" s="35" t="s">
        <v>320</v>
      </c>
      <c r="N98" s="34" t="s">
        <v>349</v>
      </c>
      <c r="O98" s="34">
        <f>IF(Rated_Vin&gt;180, 2000000, 620000)</f>
        <v>620000</v>
      </c>
      <c r="P98" s="35" t="s">
        <v>320</v>
      </c>
    </row>
    <row r="99" spans="1:17" s="33" customFormat="1" ht="15.6">
      <c r="A99" s="46"/>
      <c r="B99" s="34" t="s">
        <v>350</v>
      </c>
      <c r="C99" s="36">
        <f>AVERAGE(Min_Vin,Max_Vin)</f>
        <v>111</v>
      </c>
      <c r="D99" s="34" t="s">
        <v>336</v>
      </c>
      <c r="F99" s="34" t="s">
        <v>351</v>
      </c>
      <c r="G99" s="34">
        <f>1/Switch_freq_D</f>
        <v>1.4285714285714285E-5</v>
      </c>
      <c r="H99" s="34" t="s">
        <v>343</v>
      </c>
      <c r="J99" s="34" t="s">
        <v>352</v>
      </c>
      <c r="K99" s="34">
        <v>2.9</v>
      </c>
      <c r="L99" s="34" t="s">
        <v>336</v>
      </c>
      <c r="N99" s="34" t="s">
        <v>353</v>
      </c>
      <c r="O99" s="34">
        <f>PeakVIN*Rvin1/(CenterVin.pk-PeakVIN)</f>
        <v>74305.681980868263</v>
      </c>
      <c r="P99" s="35" t="s">
        <v>320</v>
      </c>
    </row>
    <row r="100" spans="1:17" s="33" customFormat="1" ht="15.6">
      <c r="A100" s="30"/>
      <c r="B100" s="34" t="s">
        <v>354</v>
      </c>
      <c r="C100" s="34">
        <f>1/Line_freq*0.5</f>
        <v>8.3333333333333332E-3</v>
      </c>
      <c r="D100" s="34" t="s">
        <v>343</v>
      </c>
      <c r="E100" s="30"/>
      <c r="F100" s="34" t="s">
        <v>355</v>
      </c>
      <c r="G100" s="34">
        <f>Eff*Min_Vin^2*Switch_freq*Max_Ton^2/2/Pout</f>
        <v>5.976562500000001E-4</v>
      </c>
      <c r="H100" s="34" t="s">
        <v>356</v>
      </c>
      <c r="I100" s="30"/>
      <c r="J100" s="34" t="s">
        <v>357</v>
      </c>
      <c r="K100" s="34">
        <v>0.7</v>
      </c>
      <c r="L100" s="34" t="s">
        <v>336</v>
      </c>
      <c r="M100" s="30"/>
      <c r="N100" s="34" t="s">
        <v>358</v>
      </c>
      <c r="O100" s="34">
        <f>Rvin2/(Rvin1+Rvin2)</f>
        <v>0.10702156688228828</v>
      </c>
      <c r="P100" s="35"/>
      <c r="Q100" s="30"/>
    </row>
    <row r="101" spans="1:17" s="33" customFormat="1">
      <c r="A101" s="30"/>
      <c r="B101" s="34" t="s">
        <v>359</v>
      </c>
      <c r="C101" s="34">
        <f>C34*0.001</f>
        <v>0.15</v>
      </c>
      <c r="D101" s="34" t="s">
        <v>360</v>
      </c>
      <c r="E101" s="30"/>
      <c r="F101" s="65" t="s">
        <v>361</v>
      </c>
      <c r="G101" s="66"/>
      <c r="H101" s="66"/>
      <c r="I101" s="30"/>
      <c r="J101" s="34" t="s">
        <v>362</v>
      </c>
      <c r="K101" s="34">
        <f>67*10^-6</f>
        <v>6.7000000000000002E-5</v>
      </c>
      <c r="L101" s="34" t="s">
        <v>360</v>
      </c>
      <c r="M101" s="30"/>
      <c r="N101" s="89" t="s">
        <v>363</v>
      </c>
      <c r="O101" s="90"/>
      <c r="P101" s="91"/>
      <c r="Q101" s="30"/>
    </row>
    <row r="102" spans="1:17" s="33" customFormat="1" ht="15.6">
      <c r="A102" s="30"/>
      <c r="B102" s="34" t="s">
        <v>364</v>
      </c>
      <c r="C102" s="34">
        <v>0.85</v>
      </c>
      <c r="D102" s="34"/>
      <c r="E102" s="30"/>
      <c r="F102" s="34" t="s">
        <v>365</v>
      </c>
      <c r="G102" s="34">
        <f>Max._Duty*0.01/Switch_freq</f>
        <v>4.1666666666666669E-6</v>
      </c>
      <c r="H102" s="34" t="s">
        <v>366</v>
      </c>
      <c r="I102" s="30"/>
      <c r="J102" s="34" t="s">
        <v>367</v>
      </c>
      <c r="K102" s="36">
        <f>peak_Vin_max*2.5*10^-6/Tdis.max</f>
        <v>35.199999999999996</v>
      </c>
      <c r="L102" s="34" t="s">
        <v>368</v>
      </c>
      <c r="M102" s="30"/>
      <c r="N102" s="34" t="s">
        <v>369</v>
      </c>
      <c r="O102" s="34">
        <f>(O31+O32)*10^-9</f>
        <v>3.0000000000000004E-7</v>
      </c>
      <c r="P102" s="35" t="s">
        <v>370</v>
      </c>
      <c r="Q102" s="30"/>
    </row>
    <row r="103" spans="1:17" s="33" customFormat="1" ht="15.6">
      <c r="A103" s="30"/>
      <c r="B103" s="34" t="s">
        <v>371</v>
      </c>
      <c r="C103" s="34">
        <f>Pout/Eff</f>
        <v>7.0588235294117645</v>
      </c>
      <c r="D103" s="34" t="s">
        <v>372</v>
      </c>
      <c r="E103" s="30"/>
      <c r="F103" s="34" t="s">
        <v>373</v>
      </c>
      <c r="G103" s="34">
        <f>peak_Vin_min*Max_Ton/Lm</f>
        <v>0.88734968619488319</v>
      </c>
      <c r="H103" s="34" t="s">
        <v>374</v>
      </c>
      <c r="I103" s="30"/>
      <c r="J103" s="34" t="s">
        <v>375</v>
      </c>
      <c r="K103" s="36">
        <f>(Rated_Vout*2.5*10^-6)^2/(2*Lm*Ts_D*Iin.min)</f>
        <v>11.261940673705375</v>
      </c>
      <c r="L103" s="34" t="s">
        <v>368</v>
      </c>
      <c r="M103" s="30"/>
      <c r="N103" s="34" t="s">
        <v>376</v>
      </c>
      <c r="O103" s="34">
        <f>Mean_Vin*2^0.5</f>
        <v>156.97770542341357</v>
      </c>
      <c r="P103" s="35" t="s">
        <v>368</v>
      </c>
      <c r="Q103" s="30"/>
    </row>
    <row r="104" spans="1:17" s="33" customFormat="1" ht="15.6">
      <c r="A104" s="30"/>
      <c r="B104" s="65" t="s">
        <v>377</v>
      </c>
      <c r="C104" s="66"/>
      <c r="D104" s="66"/>
      <c r="E104" s="30"/>
      <c r="F104" s="65" t="s">
        <v>378</v>
      </c>
      <c r="G104" s="66"/>
      <c r="H104" s="66"/>
      <c r="I104" s="30"/>
      <c r="J104" s="34" t="s">
        <v>379</v>
      </c>
      <c r="K104" s="36">
        <f>IF(VIN.BNK.ND&gt;VIN.BNK.D,VIN.BNK.ND,VIN.BNK.D)</f>
        <v>35.199999999999996</v>
      </c>
      <c r="L104" s="34" t="s">
        <v>368</v>
      </c>
      <c r="M104" s="30"/>
      <c r="N104" s="34" t="s">
        <v>380</v>
      </c>
      <c r="O104" s="34">
        <v>10</v>
      </c>
      <c r="P104" s="35" t="s">
        <v>381</v>
      </c>
      <c r="Q104" s="30"/>
    </row>
    <row r="105" spans="1:17" s="33" customFormat="1" ht="15.6">
      <c r="A105" s="30"/>
      <c r="B105" s="34" t="s">
        <v>382</v>
      </c>
      <c r="C105" s="34">
        <f>Pin*Min_Vout/Rated_Vout/(peak_Vin_max*2/PI())</f>
        <v>5.1972226883537039E-2</v>
      </c>
      <c r="D105" s="34" t="s">
        <v>374</v>
      </c>
      <c r="E105" s="30"/>
      <c r="F105" s="34" t="s">
        <v>378</v>
      </c>
      <c r="G105" s="34">
        <f xml:space="preserve"> ( (2*Ts_D*Iin.minVin.maxPA*peak_Vin_min)/Lm )^0.5</f>
        <v>0.80332380088572342</v>
      </c>
      <c r="H105" s="34" t="s">
        <v>374</v>
      </c>
      <c r="I105" s="30"/>
      <c r="J105" s="34" t="s">
        <v>383</v>
      </c>
      <c r="K105" s="34">
        <f>Nap*VIN.BNK.F/Ivs.bnk</f>
        <v>315223.88059701485</v>
      </c>
      <c r="L105" s="35" t="s">
        <v>384</v>
      </c>
      <c r="M105" s="30"/>
      <c r="N105" s="34" t="s">
        <v>385</v>
      </c>
      <c r="O105" s="34">
        <f>Vin_ivc_pk*COS(A.ivc.start*PI()/180)</f>
        <v>154.59286135104421</v>
      </c>
      <c r="P105" s="35" t="s">
        <v>368</v>
      </c>
      <c r="Q105" s="30"/>
    </row>
    <row r="106" spans="1:17" s="33" customFormat="1" ht="15.6">
      <c r="A106" s="30"/>
      <c r="B106" s="34" t="s">
        <v>386</v>
      </c>
      <c r="C106" s="34">
        <f>C39*10^-3</f>
        <v>5.2000000000000005E-2</v>
      </c>
      <c r="D106" s="34" t="s">
        <v>374</v>
      </c>
      <c r="E106" s="30"/>
      <c r="F106" s="65" t="s">
        <v>387</v>
      </c>
      <c r="G106" s="66"/>
      <c r="H106" s="66"/>
      <c r="I106" s="30"/>
      <c r="J106" s="34" t="s">
        <v>388</v>
      </c>
      <c r="K106" s="34">
        <f>Rvs1_*Vvs.ovp/( (Max_Vout+Vf)*Nap - Vvs.ovp )</f>
        <v>40235.442505780942</v>
      </c>
      <c r="L106" s="35" t="s">
        <v>384</v>
      </c>
      <c r="M106" s="30"/>
      <c r="N106" s="34" t="s">
        <v>389</v>
      </c>
      <c r="O106" s="34">
        <f>A.ivc.start/180/(2*Line_freq)</f>
        <v>4.6296296296296293E-4</v>
      </c>
      <c r="P106" s="35" t="s">
        <v>366</v>
      </c>
      <c r="Q106" s="30"/>
    </row>
    <row r="107" spans="1:17" s="33" customFormat="1" ht="15.6">
      <c r="A107" s="30"/>
      <c r="B107" s="34" t="s">
        <v>390</v>
      </c>
      <c r="C107" s="34">
        <f>PI()*Pin/( 2^0.5*Min_Vin*( 1 + COS(PI()-Max_PA*PI()/180) ) )</f>
        <v>0.10605796052384142</v>
      </c>
      <c r="D107" s="34" t="s">
        <v>374</v>
      </c>
      <c r="E107" s="30"/>
      <c r="F107" s="37" t="s">
        <v>391</v>
      </c>
      <c r="G107" s="34">
        <f>IF(Ipk_at_dim_dcm&gt;Ipk_at_non_dim,Ipk_at_dim_dcm,Ipk_at_non_dim)</f>
        <v>0.88734968619488319</v>
      </c>
      <c r="H107" s="34" t="s">
        <v>374</v>
      </c>
      <c r="I107" s="30"/>
      <c r="J107" s="34" t="s">
        <v>392</v>
      </c>
      <c r="K107" s="34">
        <f>peak_Vin_min*Max_Ton/(Rated_Vout)</f>
        <v>1.3258252147247767E-5</v>
      </c>
      <c r="L107" s="34" t="s">
        <v>366</v>
      </c>
      <c r="M107" s="30"/>
      <c r="N107" s="34" t="s">
        <v>393</v>
      </c>
      <c r="O107" s="34">
        <f>T.HLINE/2</f>
        <v>4.1666666666666666E-3</v>
      </c>
      <c r="P107" s="35" t="s">
        <v>366</v>
      </c>
      <c r="Q107" s="30"/>
    </row>
    <row r="108" spans="1:17" s="33" customFormat="1" ht="15.6">
      <c r="A108" s="30"/>
      <c r="B108" s="34" t="s">
        <v>394</v>
      </c>
      <c r="C108" s="34">
        <f>PI()*Pin/( 2^0.5*Min_Vin*2 )</f>
        <v>8.71153517285954E-2</v>
      </c>
      <c r="D108" s="34" t="s">
        <v>374</v>
      </c>
      <c r="E108" s="30"/>
      <c r="F108" s="65" t="s">
        <v>395</v>
      </c>
      <c r="G108" s="66"/>
      <c r="H108" s="66"/>
      <c r="I108" s="30"/>
      <c r="J108" s="65" t="s">
        <v>396</v>
      </c>
      <c r="K108" s="65"/>
      <c r="L108" s="65"/>
      <c r="M108" s="30"/>
      <c r="N108" s="34" t="s">
        <v>397</v>
      </c>
      <c r="O108" s="34">
        <f>4.8/rvin</f>
        <v>44.850772978118151</v>
      </c>
      <c r="P108" s="35" t="s">
        <v>368</v>
      </c>
      <c r="Q108" s="30"/>
    </row>
    <row r="109" spans="1:17" s="33" customFormat="1" ht="15.6">
      <c r="A109" s="30"/>
      <c r="B109" s="34" t="s">
        <v>398</v>
      </c>
      <c r="C109" s="34">
        <f>PI()*Pin/( 2^0.5*Mean_Vin*( 1 + COS(PI()-Max_PA*PI()/180) ) )</f>
        <v>8.5992940965276821E-2</v>
      </c>
      <c r="D109" s="34" t="s">
        <v>374</v>
      </c>
      <c r="E109" s="30"/>
      <c r="F109" s="34" t="s">
        <v>395</v>
      </c>
      <c r="G109" s="34">
        <f>2*Iin.minVin.maxPA*(Rated_Vout+peak_Vin_min)/(Rated_Vout)</f>
        <v>0.88706464881469371</v>
      </c>
      <c r="H109" s="34" t="s">
        <v>374</v>
      </c>
      <c r="I109" s="30"/>
      <c r="J109" s="34" t="s">
        <v>399</v>
      </c>
      <c r="K109" s="34">
        <v>510000</v>
      </c>
      <c r="L109" s="35"/>
      <c r="M109" s="30"/>
      <c r="N109" s="34" t="s">
        <v>400</v>
      </c>
      <c r="O109" s="34">
        <f>ACOS(Vin.ivc.clamp/Vin_ivc_pk)/(2*PI()*Line_freq)</f>
        <v>3.3980764074527676E-3</v>
      </c>
      <c r="P109" s="35" t="s">
        <v>366</v>
      </c>
      <c r="Q109" s="30"/>
    </row>
    <row r="110" spans="1:17" s="33" customFormat="1" ht="15.6">
      <c r="A110" s="30"/>
      <c r="B110" s="34" t="s">
        <v>401</v>
      </c>
      <c r="C110" s="34">
        <f>PI()*Pin/( 2^0.5*Mean_Vin*2 )</f>
        <v>7.0634068969131394E-2</v>
      </c>
      <c r="D110" s="34" t="s">
        <v>374</v>
      </c>
      <c r="E110" s="30"/>
      <c r="F110" s="34" t="s">
        <v>402</v>
      </c>
      <c r="G110" s="34">
        <f>G109*Lm/peak_Vin_min</f>
        <v>4.1653282363169793E-6</v>
      </c>
      <c r="H110" s="34" t="s">
        <v>366</v>
      </c>
      <c r="I110" s="30"/>
      <c r="J110" s="34" t="s">
        <v>403</v>
      </c>
      <c r="K110" s="34">
        <f>RCS*Iin.min*Kicc.hold</f>
        <v>19217.391304347831</v>
      </c>
      <c r="L110" s="35" t="s">
        <v>384</v>
      </c>
      <c r="M110" s="30"/>
      <c r="N110" s="65" t="s">
        <v>404</v>
      </c>
      <c r="O110" s="66"/>
      <c r="P110" s="66"/>
      <c r="Q110" s="30"/>
    </row>
    <row r="111" spans="1:17" s="33" customFormat="1" ht="15.6">
      <c r="A111" s="30"/>
      <c r="E111" s="30"/>
      <c r="F111" s="34" t="s">
        <v>405</v>
      </c>
      <c r="G111" s="34">
        <f>G110*(peak_Vin_min+Rated_Vout)/(Rated_Vout)</f>
        <v>1.7419321524270902E-5</v>
      </c>
      <c r="H111" s="34" t="s">
        <v>366</v>
      </c>
      <c r="I111" s="30"/>
      <c r="J111" s="34" t="s">
        <v>406</v>
      </c>
      <c r="K111" s="34">
        <f>RHOLD*36*10^-6</f>
        <v>0.69182608695652192</v>
      </c>
      <c r="L111" s="35" t="s">
        <v>407</v>
      </c>
      <c r="M111" s="30"/>
      <c r="N111" s="34" t="s">
        <v>408</v>
      </c>
      <c r="O111" s="34">
        <f>Ctotal*Vin.ivc.start</f>
        <v>4.6377858405313268E-5</v>
      </c>
      <c r="P111" s="35" t="s">
        <v>409</v>
      </c>
      <c r="Q111" s="30"/>
    </row>
    <row r="112" spans="1:17" s="33" customFormat="1" ht="15.6">
      <c r="A112" s="30"/>
      <c r="E112" s="30"/>
      <c r="F112" s="34" t="s">
        <v>410</v>
      </c>
      <c r="G112" s="34">
        <f>1/G111</f>
        <v>57407.51719902912</v>
      </c>
      <c r="H112" s="34" t="s">
        <v>411</v>
      </c>
      <c r="I112" s="30"/>
      <c r="J112" s="65" t="s">
        <v>412</v>
      </c>
      <c r="K112" s="66"/>
      <c r="L112" s="66"/>
      <c r="M112" s="30"/>
      <c r="N112" s="34" t="s">
        <v>413</v>
      </c>
      <c r="O112" s="34">
        <v>0</v>
      </c>
      <c r="P112" s="35" t="s">
        <v>409</v>
      </c>
      <c r="Q112" s="30"/>
    </row>
    <row r="113" spans="1:19" s="33" customFormat="1" ht="15.6">
      <c r="A113" s="30"/>
      <c r="E113" s="30"/>
      <c r="F113" s="65" t="s">
        <v>414</v>
      </c>
      <c r="G113" s="66"/>
      <c r="H113" s="66"/>
      <c r="I113" s="30"/>
      <c r="J113" s="34" t="s">
        <v>415</v>
      </c>
      <c r="K113" s="34">
        <v>0.4</v>
      </c>
      <c r="L113" s="35" t="s">
        <v>368</v>
      </c>
      <c r="M113" s="30"/>
      <c r="N113" s="34" t="s">
        <v>416</v>
      </c>
      <c r="O113" s="34">
        <f>1.6*(T.ivc.clamp-T.ivc.start)  -  Vin_ivc_pk*rvin*0.08/(2*PI()*Line_freq)*( SIN(2*PI()*Line_freq*T.ivc.clamp) - SIN(2*PI()*Line_freq*T.ivc.start) ) + 0.5*(T.ivc.stop-T.ivc.clamp)</f>
        <v>2.2830844670830388E-3</v>
      </c>
      <c r="P113" s="35" t="s">
        <v>417</v>
      </c>
      <c r="Q113" s="30"/>
    </row>
    <row r="114" spans="1:19" s="33" customFormat="1" ht="15.6">
      <c r="A114" s="30"/>
      <c r="E114" s="30"/>
      <c r="F114" s="37" t="s">
        <v>414</v>
      </c>
      <c r="G114" s="34">
        <f>IF(Ipk_max&gt;Ipk_at_dim_bcm,Ipk_max,Ipk_at_dim_bcm)</f>
        <v>0.88734968619488319</v>
      </c>
      <c r="H114" s="34" t="s">
        <v>374</v>
      </c>
      <c r="I114" s="30"/>
      <c r="J114" s="34" t="s">
        <v>418</v>
      </c>
      <c r="K114" s="34">
        <f>K113*(1-0.075)</f>
        <v>0.37000000000000005</v>
      </c>
      <c r="L114" s="35" t="s">
        <v>368</v>
      </c>
      <c r="M114" s="30"/>
      <c r="N114" s="34" t="s">
        <v>419</v>
      </c>
      <c r="O114" s="34">
        <f>A.Vrivc/(Q_Ctotal-Q_fly)</f>
        <v>49.227897656039197</v>
      </c>
      <c r="P114" s="35" t="s">
        <v>384</v>
      </c>
      <c r="Q114" s="30"/>
    </row>
    <row r="115" spans="1:19" s="33" customFormat="1" ht="15.6">
      <c r="A115" s="30"/>
      <c r="E115" s="30"/>
      <c r="F115" s="65" t="s">
        <v>420</v>
      </c>
      <c r="G115" s="66"/>
      <c r="H115" s="66"/>
      <c r="I115" s="30"/>
      <c r="J115" s="34" t="s">
        <v>421</v>
      </c>
      <c r="K115" s="34">
        <f>K113*(1+0.075)</f>
        <v>0.43</v>
      </c>
      <c r="L115" s="35" t="s">
        <v>368</v>
      </c>
      <c r="M115" s="30"/>
      <c r="N115" s="65" t="s">
        <v>422</v>
      </c>
      <c r="O115" s="65"/>
      <c r="P115" s="65"/>
      <c r="Q115" s="30"/>
    </row>
    <row r="116" spans="1:19" s="33" customFormat="1" ht="15.6">
      <c r="A116" s="30"/>
      <c r="B116" s="30"/>
      <c r="C116" s="30"/>
      <c r="D116" s="30"/>
      <c r="E116" s="30"/>
      <c r="F116" s="34" t="s">
        <v>423</v>
      </c>
      <c r="G116" s="34">
        <f>G30*10^-6</f>
        <v>2.3699999999999997E-5</v>
      </c>
      <c r="H116" s="34" t="s">
        <v>424</v>
      </c>
      <c r="I116" s="30"/>
      <c r="J116" s="34" t="s">
        <v>425</v>
      </c>
      <c r="K116" s="34">
        <f>K114*(1-0.4)</f>
        <v>0.22200000000000003</v>
      </c>
      <c r="L116" s="35" t="s">
        <v>368</v>
      </c>
      <c r="M116" s="30"/>
      <c r="N116" s="34" t="s">
        <v>426</v>
      </c>
      <c r="O116" s="34">
        <f>Ctotal*peak_Vin_max*(2*PI()*Line_freq)+Iin.min</f>
        <v>7.3112579722128562E-2</v>
      </c>
      <c r="P116" s="35" t="s">
        <v>374</v>
      </c>
      <c r="Q116" s="30"/>
    </row>
    <row r="117" spans="1:19" s="33" customFormat="1" ht="15.6">
      <c r="A117" s="30"/>
      <c r="B117" s="30"/>
      <c r="C117" s="30"/>
      <c r="D117" s="30"/>
      <c r="E117" s="30"/>
      <c r="F117" s="34" t="s">
        <v>427</v>
      </c>
      <c r="G117" s="34">
        <v>4.5999999999999996</v>
      </c>
      <c r="H117" s="34"/>
      <c r="I117" s="30"/>
      <c r="J117" s="34" t="s">
        <v>428</v>
      </c>
      <c r="K117" s="34">
        <f>K115*(1+0.05)</f>
        <v>0.45150000000000001</v>
      </c>
      <c r="L117" s="35" t="s">
        <v>368</v>
      </c>
      <c r="M117" s="30"/>
      <c r="N117" s="34" t="s">
        <v>429</v>
      </c>
      <c r="O117" s="34">
        <f>O37*10^-3</f>
        <v>9.6000000000000002E-2</v>
      </c>
      <c r="P117" s="35" t="s">
        <v>374</v>
      </c>
      <c r="Q117" s="30"/>
    </row>
    <row r="118" spans="1:19" s="33" customFormat="1">
      <c r="A118" s="30"/>
      <c r="B118" s="30"/>
      <c r="C118" s="30"/>
      <c r="D118" s="30"/>
      <c r="E118" s="30"/>
      <c r="F118" s="34" t="s">
        <v>430</v>
      </c>
      <c r="G118" s="34">
        <v>1</v>
      </c>
      <c r="H118" s="34" t="s">
        <v>368</v>
      </c>
      <c r="I118" s="30"/>
      <c r="J118" s="65" t="s">
        <v>431</v>
      </c>
      <c r="K118" s="65"/>
      <c r="L118" s="65"/>
      <c r="M118" s="30"/>
      <c r="N118" s="65" t="s">
        <v>432</v>
      </c>
      <c r="O118" s="65"/>
      <c r="P118" s="65"/>
      <c r="Q118" s="30"/>
      <c r="S118" s="38"/>
    </row>
    <row r="119" spans="1:19" s="33" customFormat="1" ht="15.6">
      <c r="A119" s="30"/>
      <c r="B119" s="30"/>
      <c r="C119" s="30"/>
      <c r="D119" s="30"/>
      <c r="E119" s="30"/>
      <c r="F119" s="34" t="s">
        <v>433</v>
      </c>
      <c r="G119" s="39">
        <f>25/Max_Vout</f>
        <v>0.59523809523809523</v>
      </c>
      <c r="H119" s="35"/>
      <c r="I119" s="30"/>
      <c r="J119" s="34" t="s">
        <v>434</v>
      </c>
      <c r="K119" s="34">
        <f>Pin/(peak_Vin_max*2/PI())</f>
        <v>5.9396830724042324E-2</v>
      </c>
      <c r="L119" s="35" t="s">
        <v>374</v>
      </c>
      <c r="M119" s="30"/>
      <c r="N119" s="34" t="s">
        <v>435</v>
      </c>
      <c r="O119" s="34">
        <f>O41*10^-9*0.9</f>
        <v>6.1200000000000005E-8</v>
      </c>
      <c r="P119" s="35" t="s">
        <v>370</v>
      </c>
      <c r="Q119" s="30"/>
    </row>
    <row r="120" spans="1:19" s="33" customFormat="1" ht="15.6">
      <c r="A120" s="30"/>
      <c r="B120" s="30"/>
      <c r="C120" s="30"/>
      <c r="D120" s="30"/>
      <c r="E120" s="30"/>
      <c r="F120" s="34" t="s">
        <v>436</v>
      </c>
      <c r="G120" s="39">
        <f>Na/Np</f>
        <v>0.6</v>
      </c>
      <c r="H120" s="35"/>
      <c r="I120" s="30"/>
      <c r="J120" s="34" t="s">
        <v>437</v>
      </c>
      <c r="K120" s="34">
        <f>RHOLD*39*10^-6*Iin.maxVin.180PA.woOTC/Iin.min + Vf.min.icc</f>
        <v>1.0780891036965232</v>
      </c>
      <c r="L120" s="34" t="s">
        <v>368</v>
      </c>
      <c r="M120" s="30"/>
      <c r="N120" s="34" t="s">
        <v>438</v>
      </c>
      <c r="O120" s="48">
        <f>1.5*(Rvin1+Rvin2)/Rvin2</f>
        <v>14.015866555661923</v>
      </c>
      <c r="P120" s="35" t="s">
        <v>407</v>
      </c>
      <c r="Q120" s="30"/>
    </row>
    <row r="121" spans="1:19" s="33" customFormat="1" ht="15.6">
      <c r="A121" s="30"/>
      <c r="B121" s="30"/>
      <c r="C121" s="30"/>
      <c r="D121" s="30"/>
      <c r="E121" s="30"/>
      <c r="F121" s="65" t="s">
        <v>439</v>
      </c>
      <c r="G121" s="66"/>
      <c r="H121" s="66"/>
      <c r="I121" s="30"/>
      <c r="J121" s="34" t="s">
        <v>440</v>
      </c>
      <c r="K121" s="34">
        <f>K120</f>
        <v>1.0780891036965232</v>
      </c>
      <c r="L121" s="34" t="s">
        <v>368</v>
      </c>
      <c r="M121" s="30"/>
      <c r="N121" s="34" t="s">
        <v>441</v>
      </c>
      <c r="O121" s="34">
        <f>Vin.ini * C.IN2 / (Lm*1.15*C.IN2)^0.5 * SIN(10^-5/(Lm*1.15*C.IN2)^0.5) * RCS</f>
        <v>9.5798848735979658E-2</v>
      </c>
      <c r="P121" s="35" t="s">
        <v>368</v>
      </c>
    </row>
    <row r="122" spans="1:19" s="33" customFormat="1">
      <c r="A122" s="30"/>
      <c r="E122" s="34"/>
      <c r="F122" s="34" t="s">
        <v>442</v>
      </c>
      <c r="G122" s="34">
        <f>2*peak_Vin_min/(PI()*Lm)*(Max_Ton^3/(3*Ts))^0.5</f>
        <v>0.16307384078089959</v>
      </c>
      <c r="H122" s="34" t="s">
        <v>374</v>
      </c>
      <c r="I122" s="30"/>
      <c r="J122" s="65" t="s">
        <v>443</v>
      </c>
      <c r="K122" s="65"/>
      <c r="L122" s="65"/>
      <c r="M122" s="30"/>
    </row>
    <row r="123" spans="1:19" s="33" customFormat="1" ht="15.6">
      <c r="A123" s="30"/>
      <c r="E123" s="34"/>
      <c r="F123" s="30"/>
      <c r="G123" s="30"/>
      <c r="H123" s="30"/>
      <c r="I123" s="30"/>
      <c r="J123" s="34" t="s">
        <v>444</v>
      </c>
      <c r="K123" s="34">
        <f>3.3/( (40*10^-6) * Max_PA/180 )</f>
        <v>114230.76923076923</v>
      </c>
      <c r="L123" s="35" t="s">
        <v>384</v>
      </c>
      <c r="M123" s="30"/>
    </row>
    <row r="124" spans="1:19" s="33" customFormat="1" ht="15.6">
      <c r="A124" s="30"/>
      <c r="E124" s="34"/>
      <c r="F124" s="30"/>
      <c r="G124" s="30"/>
      <c r="H124" s="30"/>
      <c r="I124" s="30"/>
      <c r="J124" s="34" t="s">
        <v>445</v>
      </c>
      <c r="K124" s="34">
        <f>VHOLD/3.3</f>
        <v>0.20964426877470363</v>
      </c>
      <c r="L124" s="35"/>
      <c r="M124" s="30"/>
    </row>
    <row r="125" spans="1:19" s="33" customFormat="1" ht="15.6">
      <c r="A125" s="30"/>
      <c r="E125" s="34"/>
      <c r="F125" s="30"/>
      <c r="G125" s="30"/>
      <c r="H125" s="30"/>
      <c r="I125" s="30"/>
      <c r="J125" s="34" t="s">
        <v>446</v>
      </c>
      <c r="K125" s="34">
        <f>Rdim.total-Rdim2</f>
        <v>90282.943143812707</v>
      </c>
      <c r="L125" s="35" t="s">
        <v>384</v>
      </c>
      <c r="M125" s="30"/>
      <c r="Q125" s="30"/>
      <c r="S125" s="40"/>
    </row>
    <row r="126" spans="1:19" s="33" customFormat="1" ht="15.6">
      <c r="A126" s="30"/>
      <c r="E126" s="30"/>
      <c r="F126" s="30"/>
      <c r="G126" s="30"/>
      <c r="H126" s="30"/>
      <c r="I126" s="30"/>
      <c r="J126" s="34" t="s">
        <v>447</v>
      </c>
      <c r="K126" s="34">
        <f>Rdim.total*K124</f>
        <v>23947.826086956531</v>
      </c>
      <c r="L126" s="35" t="s">
        <v>384</v>
      </c>
      <c r="M126" s="30"/>
      <c r="Q126" s="30"/>
      <c r="S126" s="40"/>
    </row>
    <row r="127" spans="1:19" s="33" customFormat="1">
      <c r="A127" s="30"/>
      <c r="E127" s="30"/>
      <c r="F127" s="30"/>
      <c r="G127" s="30"/>
      <c r="H127" s="30"/>
      <c r="I127" s="30"/>
      <c r="J127" s="34" t="s">
        <v>448</v>
      </c>
      <c r="K127" s="34">
        <f>50*0.001/Rdim.total</f>
        <v>4.3771043771043773E-7</v>
      </c>
      <c r="L127" s="34" t="s">
        <v>370</v>
      </c>
      <c r="M127" s="30"/>
      <c r="Q127" s="30"/>
    </row>
    <row r="128" spans="1:19" s="33" customFormat="1">
      <c r="A128" s="30"/>
      <c r="E128" s="30"/>
      <c r="F128" s="30"/>
      <c r="G128" s="30"/>
      <c r="H128" s="30"/>
      <c r="I128" s="30"/>
      <c r="M128" s="30"/>
      <c r="N128" s="30"/>
      <c r="O128" s="30"/>
      <c r="P128" s="30"/>
      <c r="Q128" s="30"/>
    </row>
    <row r="129" spans="1:17" s="33" customFormat="1">
      <c r="A129" s="30"/>
      <c r="E129" s="30"/>
      <c r="F129" s="30"/>
      <c r="G129" s="30"/>
      <c r="H129" s="30"/>
      <c r="I129" s="30"/>
      <c r="M129" s="30"/>
      <c r="N129" s="30"/>
      <c r="O129" s="30"/>
      <c r="P129" s="30"/>
      <c r="Q129" s="30"/>
    </row>
    <row r="130" spans="1:17" s="33" customFormat="1">
      <c r="A130" s="30"/>
      <c r="E130" s="30"/>
      <c r="I130" s="30"/>
      <c r="M130" s="30"/>
      <c r="N130" s="30"/>
      <c r="O130" s="30"/>
      <c r="P130" s="30"/>
      <c r="Q130" s="30"/>
    </row>
    <row r="131" spans="1:17" s="33" customFormat="1">
      <c r="A131" s="30"/>
      <c r="E131" s="30"/>
      <c r="I131" s="30"/>
      <c r="M131" s="30"/>
      <c r="N131" s="30"/>
      <c r="O131" s="30"/>
      <c r="P131" s="30"/>
      <c r="Q131" s="30"/>
    </row>
    <row r="132" spans="1:17" s="33" customFormat="1">
      <c r="A132" s="30"/>
      <c r="E132" s="30"/>
      <c r="I132" s="30"/>
      <c r="M132" s="30"/>
      <c r="N132" s="30"/>
      <c r="O132" s="30"/>
      <c r="P132" s="30"/>
      <c r="Q132" s="30"/>
    </row>
    <row r="133" spans="1:17" s="33" customFormat="1">
      <c r="A133" s="30"/>
      <c r="E133" s="30"/>
      <c r="I133" s="30"/>
      <c r="M133" s="30"/>
      <c r="Q133" s="30"/>
    </row>
    <row r="134" spans="1:17" s="33" customFormat="1">
      <c r="A134" s="30"/>
      <c r="E134" s="30"/>
      <c r="I134" s="30"/>
      <c r="M134" s="30"/>
      <c r="Q134" s="30"/>
    </row>
    <row r="135" spans="1:17" s="33" customFormat="1">
      <c r="A135" s="30"/>
      <c r="E135" s="30"/>
      <c r="I135" s="30"/>
      <c r="M135" s="30"/>
      <c r="Q135" s="30"/>
    </row>
    <row r="136" spans="1:17" s="33" customFormat="1">
      <c r="A136" s="30"/>
      <c r="E136" s="30"/>
      <c r="I136" s="30"/>
      <c r="M136" s="30"/>
      <c r="Q136" s="30"/>
    </row>
    <row r="137" spans="1:17" s="33" customFormat="1">
      <c r="A137" s="30"/>
      <c r="E137" s="30"/>
      <c r="I137" s="30"/>
      <c r="M137" s="30"/>
      <c r="Q137" s="30"/>
    </row>
    <row r="138" spans="1:17" s="33" customFormat="1">
      <c r="A138" s="30"/>
      <c r="B138" s="30"/>
      <c r="C138" s="30"/>
      <c r="D138" s="30"/>
      <c r="E138" s="30"/>
      <c r="I138" s="30"/>
      <c r="M138" s="30"/>
      <c r="Q138" s="30"/>
    </row>
    <row r="139" spans="1:17" s="33" customFormat="1">
      <c r="A139" s="30"/>
      <c r="B139" s="30"/>
      <c r="C139" s="30"/>
      <c r="D139" s="30"/>
      <c r="E139" s="30"/>
      <c r="I139" s="30"/>
      <c r="M139" s="30"/>
      <c r="Q139" s="30"/>
    </row>
    <row r="140" spans="1:17" s="33" customFormat="1">
      <c r="A140" s="30"/>
      <c r="B140" s="30"/>
      <c r="C140" s="30"/>
      <c r="D140" s="30"/>
      <c r="E140" s="30"/>
      <c r="I140" s="30"/>
      <c r="M140" s="30"/>
      <c r="Q140" s="30"/>
    </row>
    <row r="141" spans="1:17" s="33" customFormat="1">
      <c r="A141" s="30"/>
      <c r="B141" s="30"/>
      <c r="C141" s="30"/>
      <c r="D141" s="30"/>
      <c r="E141" s="30"/>
      <c r="I141" s="30"/>
      <c r="M141" s="30"/>
      <c r="Q141" s="30"/>
    </row>
    <row r="142" spans="1:17" s="33" customFormat="1">
      <c r="A142" s="30"/>
      <c r="B142" s="30"/>
      <c r="C142" s="30"/>
      <c r="D142" s="30"/>
      <c r="E142" s="30"/>
      <c r="I142" s="30"/>
      <c r="M142" s="30"/>
      <c r="Q142" s="30"/>
    </row>
    <row r="143" spans="1:17" s="33" customFormat="1">
      <c r="A143" s="30"/>
      <c r="B143" s="30"/>
      <c r="C143" s="30"/>
      <c r="D143" s="30"/>
      <c r="E143" s="30"/>
      <c r="I143" s="30"/>
      <c r="M143" s="30"/>
      <c r="Q143" s="30"/>
    </row>
    <row r="144" spans="1:17" s="33" customFormat="1">
      <c r="A144" s="30"/>
      <c r="B144" s="30"/>
      <c r="C144" s="30"/>
      <c r="D144" s="30"/>
      <c r="E144" s="30"/>
      <c r="I144" s="30"/>
      <c r="M144" s="30"/>
      <c r="Q144" s="30"/>
    </row>
    <row r="145" spans="1:17" s="33" customFormat="1">
      <c r="A145" s="30"/>
      <c r="B145" s="30"/>
      <c r="C145" s="30"/>
      <c r="D145" s="30"/>
      <c r="E145" s="30"/>
      <c r="I145" s="30"/>
      <c r="M145" s="30"/>
      <c r="Q145" s="30"/>
    </row>
    <row r="146" spans="1:17" s="33" customFormat="1">
      <c r="A146" s="30"/>
      <c r="B146" s="30"/>
      <c r="C146" s="30"/>
      <c r="D146" s="30"/>
      <c r="E146" s="30"/>
      <c r="I146" s="30"/>
      <c r="M146" s="30"/>
      <c r="Q146" s="30"/>
    </row>
    <row r="147" spans="1:17" s="33" customFormat="1">
      <c r="A147" s="30"/>
      <c r="B147" s="30"/>
      <c r="C147" s="30"/>
      <c r="D147" s="30"/>
      <c r="E147" s="30"/>
      <c r="I147" s="30"/>
      <c r="M147" s="30"/>
      <c r="Q147" s="30"/>
    </row>
    <row r="148" spans="1:17" s="33" customFormat="1">
      <c r="A148" s="30"/>
      <c r="B148" s="30"/>
      <c r="C148" s="30"/>
      <c r="D148" s="30"/>
      <c r="E148" s="30"/>
      <c r="I148" s="30"/>
      <c r="M148" s="30"/>
      <c r="Q148" s="30"/>
    </row>
    <row r="149" spans="1:17" s="33" customFormat="1">
      <c r="A149" s="30"/>
      <c r="B149" s="30"/>
      <c r="C149" s="30"/>
      <c r="D149" s="30"/>
      <c r="E149" s="30"/>
      <c r="I149" s="30"/>
      <c r="M149" s="30"/>
      <c r="Q149" s="30"/>
    </row>
    <row r="150" spans="1:17" s="33" customFormat="1">
      <c r="A150" s="30"/>
      <c r="B150" s="30"/>
      <c r="C150" s="30"/>
      <c r="D150" s="30"/>
      <c r="E150" s="30"/>
      <c r="I150" s="30"/>
      <c r="M150" s="30"/>
      <c r="Q150" s="30"/>
    </row>
    <row r="151" spans="1:17" s="33" customFormat="1">
      <c r="A151" s="30"/>
      <c r="B151" s="30"/>
      <c r="C151" s="30"/>
      <c r="D151" s="30"/>
      <c r="E151" s="30"/>
      <c r="I151" s="30"/>
      <c r="M151" s="30"/>
      <c r="Q151" s="30"/>
    </row>
    <row r="152" spans="1:17" s="33" customFormat="1">
      <c r="A152" s="30"/>
      <c r="B152" s="30"/>
      <c r="C152" s="30"/>
      <c r="D152" s="30"/>
      <c r="E152" s="30"/>
      <c r="I152" s="30"/>
      <c r="M152" s="30"/>
      <c r="Q152" s="30"/>
    </row>
    <row r="153" spans="1:17" s="33" customFormat="1">
      <c r="A153" s="30"/>
      <c r="B153" s="30"/>
      <c r="C153" s="30"/>
      <c r="D153" s="30"/>
      <c r="E153" s="30"/>
      <c r="I153" s="30"/>
      <c r="M153" s="30"/>
      <c r="Q153" s="30"/>
    </row>
    <row r="154" spans="1:17" s="33" customFormat="1">
      <c r="A154" s="30"/>
      <c r="B154" s="30"/>
      <c r="C154" s="30"/>
      <c r="D154" s="30"/>
      <c r="E154" s="30"/>
      <c r="I154" s="30"/>
      <c r="M154" s="30"/>
      <c r="Q154" s="30"/>
    </row>
    <row r="155" spans="1:17" s="33" customFormat="1">
      <c r="A155" s="30"/>
      <c r="B155" s="30"/>
      <c r="C155" s="30"/>
      <c r="D155" s="30"/>
      <c r="E155" s="30"/>
      <c r="I155" s="30"/>
      <c r="M155" s="30"/>
      <c r="Q155" s="30"/>
    </row>
    <row r="156" spans="1:17" s="33" customFormat="1">
      <c r="A156" s="30"/>
      <c r="B156" s="30"/>
      <c r="C156" s="30"/>
      <c r="D156" s="30"/>
      <c r="E156" s="30"/>
      <c r="I156" s="30"/>
      <c r="M156" s="30"/>
      <c r="Q156" s="30"/>
    </row>
    <row r="157" spans="1:17" s="33" customFormat="1">
      <c r="A157" s="30"/>
      <c r="B157" s="30"/>
      <c r="C157" s="30"/>
      <c r="D157" s="30"/>
      <c r="E157" s="30"/>
      <c r="I157" s="30"/>
      <c r="M157" s="30"/>
      <c r="Q157" s="30"/>
    </row>
    <row r="158" spans="1:17" s="33" customFormat="1">
      <c r="A158" s="30"/>
      <c r="B158" s="30"/>
      <c r="C158" s="30"/>
      <c r="D158" s="30"/>
      <c r="E158" s="30"/>
      <c r="I158" s="30"/>
      <c r="M158" s="30"/>
      <c r="Q158" s="30"/>
    </row>
    <row r="159" spans="1:17" s="33" customFormat="1">
      <c r="A159" s="30"/>
      <c r="B159" s="30"/>
      <c r="C159" s="30"/>
      <c r="D159" s="30"/>
      <c r="E159" s="30"/>
      <c r="I159" s="30"/>
      <c r="M159" s="30"/>
      <c r="Q159" s="30"/>
    </row>
    <row r="160" spans="1:17" s="33" customFormat="1">
      <c r="A160" s="30"/>
      <c r="B160" s="30"/>
      <c r="C160" s="30"/>
      <c r="D160" s="30"/>
      <c r="E160" s="30"/>
      <c r="I160" s="30"/>
      <c r="M160" s="30"/>
      <c r="N160" s="30"/>
      <c r="O160" s="30"/>
      <c r="P160" s="30"/>
      <c r="Q160" s="30"/>
    </row>
    <row r="161" spans="1:17" s="33" customFormat="1">
      <c r="A161" s="30"/>
      <c r="B161" s="30"/>
      <c r="C161" s="30"/>
      <c r="D161" s="30"/>
      <c r="E161" s="30"/>
      <c r="I161" s="30"/>
      <c r="M161" s="30"/>
      <c r="N161" s="30"/>
      <c r="O161" s="30"/>
      <c r="P161" s="30"/>
      <c r="Q161" s="30"/>
    </row>
    <row r="162" spans="1:17" s="33" customFormat="1">
      <c r="A162" s="30"/>
      <c r="B162" s="30"/>
      <c r="C162" s="30"/>
      <c r="D162" s="30"/>
      <c r="E162" s="30"/>
      <c r="I162" s="30"/>
      <c r="M162" s="30"/>
      <c r="N162" s="30"/>
      <c r="O162" s="30"/>
      <c r="P162" s="30"/>
      <c r="Q162" s="30"/>
    </row>
    <row r="163" spans="1:17" s="33" customFormat="1">
      <c r="A163" s="30"/>
      <c r="B163" s="30"/>
      <c r="C163" s="30"/>
      <c r="D163" s="30"/>
      <c r="E163" s="30"/>
      <c r="I163" s="30"/>
      <c r="M163" s="30"/>
      <c r="Q163" s="30"/>
    </row>
    <row r="164" spans="1:17" s="33" customFormat="1">
      <c r="A164" s="30"/>
      <c r="B164" s="30"/>
      <c r="C164" s="30"/>
      <c r="D164" s="30"/>
      <c r="E164" s="30"/>
      <c r="I164" s="30"/>
      <c r="M164" s="30"/>
      <c r="Q164" s="30"/>
    </row>
    <row r="165" spans="1:17" s="33" customFormat="1">
      <c r="A165" s="30"/>
      <c r="B165" s="30"/>
      <c r="C165" s="30"/>
      <c r="D165" s="30"/>
      <c r="E165" s="30"/>
      <c r="I165" s="30"/>
      <c r="M165" s="30"/>
      <c r="Q165" s="30"/>
    </row>
    <row r="166" spans="1:17" s="33" customFormat="1"/>
    <row r="167" spans="1:17" s="33" customFormat="1"/>
    <row r="168" spans="1:17" s="33" customFormat="1"/>
    <row r="169" spans="1:17" s="33" customFormat="1"/>
    <row r="170" spans="1:17" s="33" customFormat="1"/>
    <row r="171" spans="1:17" s="33" customFormat="1"/>
    <row r="172" spans="1:17" s="33" customFormat="1"/>
    <row r="173" spans="1:17" s="33" customFormat="1"/>
    <row r="174" spans="1:17" s="33" customFormat="1"/>
    <row r="175" spans="1:17" s="33" customFormat="1"/>
    <row r="176" spans="1:17"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sheetData>
  <sheetProtection password="E642" sheet="1" objects="1" scenarios="1" selectLockedCells="1"/>
  <mergeCells count="34">
    <mergeCell ref="N118:P118"/>
    <mergeCell ref="B21:D24"/>
    <mergeCell ref="N95:P95"/>
    <mergeCell ref="F113:H113"/>
    <mergeCell ref="N101:P101"/>
    <mergeCell ref="B43:D43"/>
    <mergeCell ref="F95:H95"/>
    <mergeCell ref="J40:L40"/>
    <mergeCell ref="F101:H101"/>
    <mergeCell ref="J95:L95"/>
    <mergeCell ref="B95:D95"/>
    <mergeCell ref="N110:P110"/>
    <mergeCell ref="N115:P115"/>
    <mergeCell ref="B104:D104"/>
    <mergeCell ref="F115:H115"/>
    <mergeCell ref="J108:L108"/>
    <mergeCell ref="F104:H104"/>
    <mergeCell ref="J118:L118"/>
    <mergeCell ref="J122:L122"/>
    <mergeCell ref="F106:H106"/>
    <mergeCell ref="F108:H108"/>
    <mergeCell ref="F121:H121"/>
    <mergeCell ref="J112:L112"/>
    <mergeCell ref="N43:P43"/>
    <mergeCell ref="B26:D26"/>
    <mergeCell ref="F26:H26"/>
    <mergeCell ref="J26:L26"/>
    <mergeCell ref="N26:P26"/>
    <mergeCell ref="N30:P30"/>
    <mergeCell ref="J35:L35"/>
    <mergeCell ref="B36:D36"/>
    <mergeCell ref="F37:H37"/>
    <mergeCell ref="J38:L38"/>
    <mergeCell ref="B42:D42"/>
  </mergeCells>
  <phoneticPr fontId="1" type="noConversion"/>
  <pageMargins left="0.7" right="0.7" top="0.75" bottom="0.75" header="0.3" footer="0.3"/>
  <pageSetup paperSize="9" orientation="portrait" r:id="rId1"/>
  <legacyDrawing r:id="rId2"/>
  <oleObjects>
    <oleObject progId="Visio.Drawing.11" shapeId="9269" r:id="rId3"/>
    <oleObject progId="Visio.Drawing.11" shapeId="9287"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415</vt:i4>
      </vt:variant>
    </vt:vector>
  </HeadingPairs>
  <TitlesOfParts>
    <vt:vector size="420" baseType="lpstr">
      <vt:lpstr>Main</vt:lpstr>
      <vt:lpstr>Wide Dimming Flyback</vt:lpstr>
      <vt:lpstr>Wide Dimming Buckboost</vt:lpstr>
      <vt:lpstr>Wide I&amp;O Flyback</vt:lpstr>
      <vt:lpstr>Wide I&amp;O Buckboost</vt:lpstr>
      <vt:lpstr>'Wide Dimming Buckboost'!A.ivc.start</vt:lpstr>
      <vt:lpstr>'Wide I&amp;O Buckboost'!A.ivc.start</vt:lpstr>
      <vt:lpstr>'Wide I&amp;O Flyback'!A.ivc.start</vt:lpstr>
      <vt:lpstr>A.ivc.start</vt:lpstr>
      <vt:lpstr>'Wide Dimming Buckboost'!A.Vrivc</vt:lpstr>
      <vt:lpstr>'Wide I&amp;O Buckboost'!A.Vrivc</vt:lpstr>
      <vt:lpstr>'Wide I&amp;O Flyback'!A.Vrivc</vt:lpstr>
      <vt:lpstr>A.Vrivc</vt:lpstr>
      <vt:lpstr>'Wide Dimming Buckboost'!Ae</vt:lpstr>
      <vt:lpstr>'Wide I&amp;O Buckboost'!Ae</vt:lpstr>
      <vt:lpstr>'Wide I&amp;O Flyback'!Ae</vt:lpstr>
      <vt:lpstr>Ae</vt:lpstr>
      <vt:lpstr>'Wide Dimming Buckboost'!BMAX</vt:lpstr>
      <vt:lpstr>'Wide I&amp;O Buckboost'!BMAX</vt:lpstr>
      <vt:lpstr>'Wide I&amp;O Flyback'!BMAX</vt:lpstr>
      <vt:lpstr>BMAX</vt:lpstr>
      <vt:lpstr>'Wide Dimming Buckboost'!C.IN2</vt:lpstr>
      <vt:lpstr>'Wide I&amp;O Buckboost'!C.IN2</vt:lpstr>
      <vt:lpstr>'Wide I&amp;O Flyback'!C.IN2</vt:lpstr>
      <vt:lpstr>C.IN2</vt:lpstr>
      <vt:lpstr>'Wide Dimming Buckboost'!CenterVin.pk</vt:lpstr>
      <vt:lpstr>'Wide I&amp;O Buckboost'!CenterVin.pk</vt:lpstr>
      <vt:lpstr>'Wide I&amp;O Flyback'!CenterVin.pk</vt:lpstr>
      <vt:lpstr>CenterVin.pk</vt:lpstr>
      <vt:lpstr>'Wide I&amp;O Flyback'!Csn</vt:lpstr>
      <vt:lpstr>Csn</vt:lpstr>
      <vt:lpstr>'Wide Dimming Buckboost'!Ctop</vt:lpstr>
      <vt:lpstr>Ctop</vt:lpstr>
      <vt:lpstr>'Wide Dimming Buckboost'!Ctotal</vt:lpstr>
      <vt:lpstr>'Wide I&amp;O Buckboost'!Ctotal</vt:lpstr>
      <vt:lpstr>'Wide I&amp;O Flyback'!Ctotal</vt:lpstr>
      <vt:lpstr>Ctotal</vt:lpstr>
      <vt:lpstr>'Wide Dimming Buckboost'!Eff</vt:lpstr>
      <vt:lpstr>'Wide I&amp;O Buckboost'!Eff</vt:lpstr>
      <vt:lpstr>'Wide I&amp;O Flyback'!Eff</vt:lpstr>
      <vt:lpstr>Eff</vt:lpstr>
      <vt:lpstr>'Wide I&amp;O Flyback'!I.DP.BIAS</vt:lpstr>
      <vt:lpstr>I.DP.BIAS</vt:lpstr>
      <vt:lpstr>'Wide I&amp;O Flyback'!I.DP.MAX</vt:lpstr>
      <vt:lpstr>I.DP.MAX</vt:lpstr>
      <vt:lpstr>'Wide Dimming Buckboost'!Iin.maxVin.180PA.woOTC</vt:lpstr>
      <vt:lpstr>'Wide I&amp;O Buckboost'!Iin.maxVin.180PA.woOTC</vt:lpstr>
      <vt:lpstr>'Wide I&amp;O Flyback'!Iin.maxVin.180PA.woOTC</vt:lpstr>
      <vt:lpstr>Iin.maxVin.180PA.woOTC</vt:lpstr>
      <vt:lpstr>'Wide Dimming Buckboost'!Iin.meanVin.180PA</vt:lpstr>
      <vt:lpstr>'Wide I&amp;O Buckboost'!Iin.meanVin.180PA</vt:lpstr>
      <vt:lpstr>'Wide I&amp;O Flyback'!Iin.meanVin.180PA</vt:lpstr>
      <vt:lpstr>Iin.meanVin.180PA</vt:lpstr>
      <vt:lpstr>'Wide Dimming Buckboost'!Iin.meanVin.maxPA</vt:lpstr>
      <vt:lpstr>'Wide I&amp;O Buckboost'!Iin.meanVin.maxPA</vt:lpstr>
      <vt:lpstr>'Wide I&amp;O Flyback'!Iin.meanVin.maxPA</vt:lpstr>
      <vt:lpstr>Iin.meanVin.maxPA</vt:lpstr>
      <vt:lpstr>'Wide Dimming Buckboost'!Iin.min</vt:lpstr>
      <vt:lpstr>'Wide I&amp;O Buckboost'!Iin.min</vt:lpstr>
      <vt:lpstr>'Wide I&amp;O Flyback'!Iin.min</vt:lpstr>
      <vt:lpstr>Iin.min</vt:lpstr>
      <vt:lpstr>'Wide Dimming Buckboost'!Iin.minVin.180PA</vt:lpstr>
      <vt:lpstr>'Wide I&amp;O Buckboost'!Iin.minVin.180PA</vt:lpstr>
      <vt:lpstr>'Wide I&amp;O Flyback'!Iin.minVin.180PA</vt:lpstr>
      <vt:lpstr>Iin.minVin.180PA</vt:lpstr>
      <vt:lpstr>'Wide Dimming Buckboost'!Iin.minVin.maxPA</vt:lpstr>
      <vt:lpstr>'Wide I&amp;O Buckboost'!Iin.minVin.maxPA</vt:lpstr>
      <vt:lpstr>'Wide I&amp;O Flyback'!Iin.minVin.maxPA</vt:lpstr>
      <vt:lpstr>Iin.minVin.maxPA</vt:lpstr>
      <vt:lpstr>'Wide I&amp;O Flyback'!Iin.pk</vt:lpstr>
      <vt:lpstr>Iin.pk</vt:lpstr>
      <vt:lpstr>'Wide Dimming Buckboost'!Imax.ivc</vt:lpstr>
      <vt:lpstr>'Wide I&amp;O Buckboost'!Imax.ivc</vt:lpstr>
      <vt:lpstr>'Wide I&amp;O Flyback'!Imax.ivc</vt:lpstr>
      <vt:lpstr>Imax.ivc</vt:lpstr>
      <vt:lpstr>'Wide Dimming Buckboost'!Ipk_at_dim_bcm</vt:lpstr>
      <vt:lpstr>'Wide I&amp;O Buckboost'!Ipk_at_dim_bcm</vt:lpstr>
      <vt:lpstr>'Wide I&amp;O Flyback'!Ipk_at_dim_bcm</vt:lpstr>
      <vt:lpstr>Ipk_at_dim_bcm</vt:lpstr>
      <vt:lpstr>'Wide Dimming Buckboost'!Ipk_at_dim_dcm</vt:lpstr>
      <vt:lpstr>'Wide I&amp;O Buckboost'!Ipk_at_dim_dcm</vt:lpstr>
      <vt:lpstr>'Wide I&amp;O Flyback'!Ipk_at_dim_dcm</vt:lpstr>
      <vt:lpstr>Ipk_at_dim_dcm</vt:lpstr>
      <vt:lpstr>'Wide Dimming Buckboost'!Ipk_at_non_dim</vt:lpstr>
      <vt:lpstr>'Wide I&amp;O Buckboost'!Ipk_at_non_dim</vt:lpstr>
      <vt:lpstr>'Wide I&amp;O Flyback'!Ipk_at_non_dim</vt:lpstr>
      <vt:lpstr>Ipk_at_non_dim</vt:lpstr>
      <vt:lpstr>'Wide Dimming Buckboost'!Ipk_max</vt:lpstr>
      <vt:lpstr>'Wide I&amp;O Buckboost'!Ipk_max</vt:lpstr>
      <vt:lpstr>'Wide I&amp;O Flyback'!Ipk_max</vt:lpstr>
      <vt:lpstr>Ipk_max</vt:lpstr>
      <vt:lpstr>'Wide Dimming Buckboost'!Ipk_max_final</vt:lpstr>
      <vt:lpstr>'Wide I&amp;O Buckboost'!Ipk_max_final</vt:lpstr>
      <vt:lpstr>'Wide I&amp;O Flyback'!Ipk_max_final</vt:lpstr>
      <vt:lpstr>Ipk_max_final</vt:lpstr>
      <vt:lpstr>'Wide Dimming Buckboost'!Isw.rms</vt:lpstr>
      <vt:lpstr>'Wide I&amp;O Buckboost'!Isw.rms</vt:lpstr>
      <vt:lpstr>'Wide I&amp;O Flyback'!Isw.rms</vt:lpstr>
      <vt:lpstr>Isw.rms</vt:lpstr>
      <vt:lpstr>'Wide Dimming Buckboost'!ITOP</vt:lpstr>
      <vt:lpstr>ITOP</vt:lpstr>
      <vt:lpstr>'Wide Dimming Buckboost'!Ivs.bnk</vt:lpstr>
      <vt:lpstr>'Wide I&amp;O Buckboost'!Ivs.bnk</vt:lpstr>
      <vt:lpstr>'Wide I&amp;O Flyback'!Ivs.bnk</vt:lpstr>
      <vt:lpstr>Ivs.bnk</vt:lpstr>
      <vt:lpstr>'Wide Dimming Buckboost'!KEAI</vt:lpstr>
      <vt:lpstr>'Wide I&amp;O Buckboost'!KEAI</vt:lpstr>
      <vt:lpstr>'Wide I&amp;O Flyback'!KEAI</vt:lpstr>
      <vt:lpstr>KEAI</vt:lpstr>
      <vt:lpstr>'Wide Dimming Buckboost'!Kicc.hold</vt:lpstr>
      <vt:lpstr>'Wide I&amp;O Buckboost'!Kicc.hold</vt:lpstr>
      <vt:lpstr>'Wide I&amp;O Flyback'!Kicc.hold</vt:lpstr>
      <vt:lpstr>Kicc.hold</vt:lpstr>
      <vt:lpstr>'Wide Dimming Buckboost'!Line_freq</vt:lpstr>
      <vt:lpstr>'Wide I&amp;O Buckboost'!Line_freq</vt:lpstr>
      <vt:lpstr>'Wide I&amp;O Flyback'!Line_freq</vt:lpstr>
      <vt:lpstr>Line_freq</vt:lpstr>
      <vt:lpstr>'Wide I&amp;O Flyback'!Llk</vt:lpstr>
      <vt:lpstr>Llk</vt:lpstr>
      <vt:lpstr>'Wide Dimming Buckboost'!Lm</vt:lpstr>
      <vt:lpstr>'Wide I&amp;O Buckboost'!Lm</vt:lpstr>
      <vt:lpstr>'Wide I&amp;O Flyback'!Lm</vt:lpstr>
      <vt:lpstr>Lm</vt:lpstr>
      <vt:lpstr>'Wide Dimming Buckboost'!Max._Duty</vt:lpstr>
      <vt:lpstr>'Wide I&amp;O Buckboost'!Max._Duty</vt:lpstr>
      <vt:lpstr>'Wide I&amp;O Flyback'!Max._Duty</vt:lpstr>
      <vt:lpstr>Max._Duty</vt:lpstr>
      <vt:lpstr>'Wide Dimming Buckboost'!Max_PA</vt:lpstr>
      <vt:lpstr>'Wide I&amp;O Buckboost'!Max_PA</vt:lpstr>
      <vt:lpstr>'Wide I&amp;O Flyback'!Max_PA</vt:lpstr>
      <vt:lpstr>Max_PA</vt:lpstr>
      <vt:lpstr>'Wide Dimming Buckboost'!Max_Ton</vt:lpstr>
      <vt:lpstr>'Wide I&amp;O Buckboost'!Max_Ton</vt:lpstr>
      <vt:lpstr>'Wide I&amp;O Flyback'!Max_Ton</vt:lpstr>
      <vt:lpstr>Max_Ton</vt:lpstr>
      <vt:lpstr>'Wide I&amp;O Flyback'!Max_VCS</vt:lpstr>
      <vt:lpstr>Max_VCS</vt:lpstr>
      <vt:lpstr>'Wide Dimming Buckboost'!Max_Vin</vt:lpstr>
      <vt:lpstr>'Wide I&amp;O Buckboost'!Max_Vin</vt:lpstr>
      <vt:lpstr>'Wide I&amp;O Flyback'!Max_Vin</vt:lpstr>
      <vt:lpstr>Max_Vin</vt:lpstr>
      <vt:lpstr>'Wide Dimming Buckboost'!Max_Vout</vt:lpstr>
      <vt:lpstr>'Wide I&amp;O Buckboost'!Max_Vout</vt:lpstr>
      <vt:lpstr>'Wide I&amp;O Flyback'!Max_Vout</vt:lpstr>
      <vt:lpstr>Max_Vout</vt:lpstr>
      <vt:lpstr>'Wide Dimming Buckboost'!Mean_Vin</vt:lpstr>
      <vt:lpstr>'Wide I&amp;O Buckboost'!Mean_Vin</vt:lpstr>
      <vt:lpstr>'Wide I&amp;O Flyback'!Mean_Vin</vt:lpstr>
      <vt:lpstr>Mean_Vin</vt:lpstr>
      <vt:lpstr>'Wide Dimming Buckboost'!Min_Vin</vt:lpstr>
      <vt:lpstr>'Wide I&amp;O Buckboost'!Min_Vin</vt:lpstr>
      <vt:lpstr>'Wide I&amp;O Flyback'!Min_Vin</vt:lpstr>
      <vt:lpstr>Min_Vin</vt:lpstr>
      <vt:lpstr>'Wide Dimming Buckboost'!Min_Vout</vt:lpstr>
      <vt:lpstr>'Wide I&amp;O Buckboost'!Min_Vout</vt:lpstr>
      <vt:lpstr>'Wide I&amp;O Flyback'!Min_Vout</vt:lpstr>
      <vt:lpstr>Min_Vout</vt:lpstr>
      <vt:lpstr>'Wide Dimming Buckboost'!Na</vt:lpstr>
      <vt:lpstr>'Wide I&amp;O Buckboost'!Na</vt:lpstr>
      <vt:lpstr>'Wide I&amp;O Flyback'!Na</vt:lpstr>
      <vt:lpstr>Na</vt:lpstr>
      <vt:lpstr>'Wide Dimming Buckboost'!Nap</vt:lpstr>
      <vt:lpstr>'Wide I&amp;O Buckboost'!Nap</vt:lpstr>
      <vt:lpstr>'Wide I&amp;O Flyback'!Nap</vt:lpstr>
      <vt:lpstr>Nap</vt:lpstr>
      <vt:lpstr>'Wide Dimming Buckboost'!Nap_i</vt:lpstr>
      <vt:lpstr>'Wide I&amp;O Buckboost'!Nap_i</vt:lpstr>
      <vt:lpstr>'Wide I&amp;O Flyback'!Nap_i</vt:lpstr>
      <vt:lpstr>Nap_i</vt:lpstr>
      <vt:lpstr>'Wide I&amp;O Flyback'!Nas</vt:lpstr>
      <vt:lpstr>Nas</vt:lpstr>
      <vt:lpstr>'Wide I&amp;O Flyback'!Nas_i</vt:lpstr>
      <vt:lpstr>Nas_i</vt:lpstr>
      <vt:lpstr>'Wide Dimming Buckboost'!Np</vt:lpstr>
      <vt:lpstr>'Wide I&amp;O Buckboost'!Np</vt:lpstr>
      <vt:lpstr>'Wide I&amp;O Flyback'!Np</vt:lpstr>
      <vt:lpstr>Np</vt:lpstr>
      <vt:lpstr>'Wide I&amp;O Flyback'!Nps</vt:lpstr>
      <vt:lpstr>Nps</vt:lpstr>
      <vt:lpstr>'Wide I&amp;O Flyback'!Nps_i</vt:lpstr>
      <vt:lpstr>Nps_i</vt:lpstr>
      <vt:lpstr>'Wide I&amp;O Flyback'!Ns</vt:lpstr>
      <vt:lpstr>Ns</vt:lpstr>
      <vt:lpstr>'Wide Dimming Buckboost'!peak_Vin</vt:lpstr>
      <vt:lpstr>'Wide I&amp;O Buckboost'!peak_Vin</vt:lpstr>
      <vt:lpstr>'Wide I&amp;O Flyback'!peak_Vin</vt:lpstr>
      <vt:lpstr>peak_Vin</vt:lpstr>
      <vt:lpstr>'Wide Dimming Buckboost'!peak_Vin_max</vt:lpstr>
      <vt:lpstr>'Wide I&amp;O Buckboost'!peak_Vin_max</vt:lpstr>
      <vt:lpstr>'Wide I&amp;O Flyback'!peak_Vin_max</vt:lpstr>
      <vt:lpstr>peak_Vin_max</vt:lpstr>
      <vt:lpstr>'Wide Dimming Buckboost'!peak_Vin_min</vt:lpstr>
      <vt:lpstr>'Wide I&amp;O Buckboost'!peak_Vin_min</vt:lpstr>
      <vt:lpstr>'Wide I&amp;O Flyback'!peak_Vin_min</vt:lpstr>
      <vt:lpstr>peak_Vin_min</vt:lpstr>
      <vt:lpstr>'Wide Dimming Buckboost'!PeakVIN</vt:lpstr>
      <vt:lpstr>'Wide I&amp;O Buckboost'!PeakVIN</vt:lpstr>
      <vt:lpstr>'Wide I&amp;O Flyback'!PeakVIN</vt:lpstr>
      <vt:lpstr>PeakVIN</vt:lpstr>
      <vt:lpstr>'Wide Dimming Buckboost'!Pin</vt:lpstr>
      <vt:lpstr>'Wide I&amp;O Buckboost'!Pin</vt:lpstr>
      <vt:lpstr>'Wide I&amp;O Flyback'!Pin</vt:lpstr>
      <vt:lpstr>Pin</vt:lpstr>
      <vt:lpstr>'Wide Dimming Buckboost'!Pout</vt:lpstr>
      <vt:lpstr>'Wide I&amp;O Buckboost'!Pout</vt:lpstr>
      <vt:lpstr>'Wide I&amp;O Flyback'!Pout</vt:lpstr>
      <vt:lpstr>Pout</vt:lpstr>
      <vt:lpstr>'Wide Dimming Buckboost'!Q_Ctotal</vt:lpstr>
      <vt:lpstr>'Wide I&amp;O Buckboost'!Q_Ctotal</vt:lpstr>
      <vt:lpstr>'Wide I&amp;O Flyback'!Q_Ctotal</vt:lpstr>
      <vt:lpstr>Q_Ctotal</vt:lpstr>
      <vt:lpstr>'Wide Dimming Buckboost'!Q_fly</vt:lpstr>
      <vt:lpstr>'Wide I&amp;O Buckboost'!Q_fly</vt:lpstr>
      <vt:lpstr>'Wide I&amp;O Flyback'!Q_fly</vt:lpstr>
      <vt:lpstr>Q_fly</vt:lpstr>
      <vt:lpstr>'Wide I&amp;O Flyback'!R.DP2</vt:lpstr>
      <vt:lpstr>R.DP2</vt:lpstr>
      <vt:lpstr>'Wide Dimming Buckboost'!Rated_Iout</vt:lpstr>
      <vt:lpstr>'Wide I&amp;O Buckboost'!Rated_Iout</vt:lpstr>
      <vt:lpstr>'Wide I&amp;O Flyback'!Rated_Iout</vt:lpstr>
      <vt:lpstr>Rated_Iout</vt:lpstr>
      <vt:lpstr>'Wide Dimming Buckboost'!Rated_Vin</vt:lpstr>
      <vt:lpstr>'Wide I&amp;O Buckboost'!Rated_Vin</vt:lpstr>
      <vt:lpstr>'Wide I&amp;O Flyback'!Rated_Vin</vt:lpstr>
      <vt:lpstr>Rated_Vin</vt:lpstr>
      <vt:lpstr>'Wide Dimming Buckboost'!Rated_Vout</vt:lpstr>
      <vt:lpstr>'Wide I&amp;O Buckboost'!Rated_Vout</vt:lpstr>
      <vt:lpstr>'Wide I&amp;O Flyback'!Rated_Vout</vt:lpstr>
      <vt:lpstr>Rated_Vout</vt:lpstr>
      <vt:lpstr>'Wide Dimming Buckboost'!Rcomp</vt:lpstr>
      <vt:lpstr>'Wide I&amp;O Buckboost'!Rcomp</vt:lpstr>
      <vt:lpstr>'Wide I&amp;O Flyback'!Rcomp</vt:lpstr>
      <vt:lpstr>Rcomp</vt:lpstr>
      <vt:lpstr>'Wide Dimming Buckboost'!Rcomp.int</vt:lpstr>
      <vt:lpstr>'Wide I&amp;O Buckboost'!Rcomp.int</vt:lpstr>
      <vt:lpstr>'Wide I&amp;O Flyback'!Rcomp.int</vt:lpstr>
      <vt:lpstr>Rcomp.int</vt:lpstr>
      <vt:lpstr>'Wide Dimming Buckboost'!Rcomp.total</vt:lpstr>
      <vt:lpstr>'Wide I&amp;O Buckboost'!Rcomp.total</vt:lpstr>
      <vt:lpstr>'Wide I&amp;O Flyback'!Rcomp.total</vt:lpstr>
      <vt:lpstr>Rcomp.total</vt:lpstr>
      <vt:lpstr>'Wide Dimming Buckboost'!RCS</vt:lpstr>
      <vt:lpstr>'Wide I&amp;O Buckboost'!RCS</vt:lpstr>
      <vt:lpstr>'Wide I&amp;O Flyback'!RCS</vt:lpstr>
      <vt:lpstr>RCS</vt:lpstr>
      <vt:lpstr>'Wide I&amp;O Flyback'!RCS_i</vt:lpstr>
      <vt:lpstr>RCS_i</vt:lpstr>
      <vt:lpstr>'Wide Dimming Buckboost'!Rdim.total</vt:lpstr>
      <vt:lpstr>'Wide I&amp;O Buckboost'!Rdim.total</vt:lpstr>
      <vt:lpstr>'Wide I&amp;O Flyback'!Rdim.total</vt:lpstr>
      <vt:lpstr>Rdim.total</vt:lpstr>
      <vt:lpstr>'Wide Dimming Buckboost'!Rdim1</vt:lpstr>
      <vt:lpstr>'Wide I&amp;O Buckboost'!Rdim1</vt:lpstr>
      <vt:lpstr>'Wide I&amp;O Flyback'!Rdim1</vt:lpstr>
      <vt:lpstr>Rdim1</vt:lpstr>
      <vt:lpstr>'Wide Dimming Buckboost'!Rdim2</vt:lpstr>
      <vt:lpstr>'Wide I&amp;O Buckboost'!Rdim2</vt:lpstr>
      <vt:lpstr>'Wide I&amp;O Flyback'!Rdim2</vt:lpstr>
      <vt:lpstr>Rdim2</vt:lpstr>
      <vt:lpstr>'Wide Dimming Buckboost'!Rfly</vt:lpstr>
      <vt:lpstr>Rfly</vt:lpstr>
      <vt:lpstr>'Wide Dimming Buckboost'!RHOLD</vt:lpstr>
      <vt:lpstr>'Wide I&amp;O Buckboost'!RHOLD</vt:lpstr>
      <vt:lpstr>'Wide I&amp;O Flyback'!RHOLD</vt:lpstr>
      <vt:lpstr>RHOLD</vt:lpstr>
      <vt:lpstr>'Wide Dimming Buckboost'!RICC.total</vt:lpstr>
      <vt:lpstr>RICC.total</vt:lpstr>
      <vt:lpstr>'Wide Dimming Buckboost'!RICC1</vt:lpstr>
      <vt:lpstr>RICC1</vt:lpstr>
      <vt:lpstr>'Wide Dimming Buckboost'!RICC2</vt:lpstr>
      <vt:lpstr>RICC2</vt:lpstr>
      <vt:lpstr>'Wide I&amp;O Buckboost'!RRBLD.F</vt:lpstr>
      <vt:lpstr>'Wide I&amp;O Flyback'!RRBLD.F</vt:lpstr>
      <vt:lpstr>'Wide Dimming Buckboost'!RRIVC</vt:lpstr>
      <vt:lpstr>'Wide I&amp;O Buckboost'!RRIVC</vt:lpstr>
      <vt:lpstr>'Wide I&amp;O Flyback'!RRIVC</vt:lpstr>
      <vt:lpstr>RRIVC</vt:lpstr>
      <vt:lpstr>'Wide I&amp;O Flyback'!Rsn</vt:lpstr>
      <vt:lpstr>Rsn</vt:lpstr>
      <vt:lpstr>'Wide Dimming Buckboost'!RTOP</vt:lpstr>
      <vt:lpstr>RTOP</vt:lpstr>
      <vt:lpstr>'Wide Dimming Buckboost'!rvin</vt:lpstr>
      <vt:lpstr>'Wide I&amp;O Buckboost'!rvin</vt:lpstr>
      <vt:lpstr>'Wide I&amp;O Flyback'!rvin</vt:lpstr>
      <vt:lpstr>rvin</vt:lpstr>
      <vt:lpstr>'Wide Dimming Buckboost'!Rvin1</vt:lpstr>
      <vt:lpstr>'Wide I&amp;O Buckboost'!Rvin1</vt:lpstr>
      <vt:lpstr>'Wide I&amp;O Flyback'!Rvin1</vt:lpstr>
      <vt:lpstr>Rvin1</vt:lpstr>
      <vt:lpstr>'Wide Dimming Buckboost'!Rvin2</vt:lpstr>
      <vt:lpstr>'Wide I&amp;O Buckboost'!Rvin2</vt:lpstr>
      <vt:lpstr>'Wide I&amp;O Flyback'!Rvin2</vt:lpstr>
      <vt:lpstr>Rvin2</vt:lpstr>
      <vt:lpstr>'Wide Dimming Buckboost'!Rvs1_</vt:lpstr>
      <vt:lpstr>'Wide I&amp;O Buckboost'!Rvs1_</vt:lpstr>
      <vt:lpstr>'Wide I&amp;O Flyback'!Rvs1_</vt:lpstr>
      <vt:lpstr>Rvs1_</vt:lpstr>
      <vt:lpstr>'Wide Dimming Buckboost'!Rvs2_</vt:lpstr>
      <vt:lpstr>'Wide I&amp;O Buckboost'!Rvs2_</vt:lpstr>
      <vt:lpstr>'Wide I&amp;O Flyback'!Rvs2_</vt:lpstr>
      <vt:lpstr>Rvs2_</vt:lpstr>
      <vt:lpstr>'Wide Dimming Buckboost'!Switch_freq</vt:lpstr>
      <vt:lpstr>'Wide I&amp;O Buckboost'!Switch_freq</vt:lpstr>
      <vt:lpstr>'Wide I&amp;O Flyback'!Switch_freq</vt:lpstr>
      <vt:lpstr>Switch_freq</vt:lpstr>
      <vt:lpstr>'Wide Dimming Buckboost'!Switch_freq_D</vt:lpstr>
      <vt:lpstr>'Wide I&amp;O Buckboost'!Switch_freq_D</vt:lpstr>
      <vt:lpstr>'Wide I&amp;O Flyback'!Switch_freq_D</vt:lpstr>
      <vt:lpstr>Switch_freq_D</vt:lpstr>
      <vt:lpstr>'Wide Dimming Buckboost'!T.HLINE</vt:lpstr>
      <vt:lpstr>'Wide I&amp;O Buckboost'!T.HLINE</vt:lpstr>
      <vt:lpstr>'Wide I&amp;O Flyback'!T.HLINE</vt:lpstr>
      <vt:lpstr>T.HLINE</vt:lpstr>
      <vt:lpstr>'Wide Dimming Buckboost'!T.ivc.clamp</vt:lpstr>
      <vt:lpstr>'Wide I&amp;O Buckboost'!T.ivc.clamp</vt:lpstr>
      <vt:lpstr>'Wide I&amp;O Flyback'!T.ivc.clamp</vt:lpstr>
      <vt:lpstr>T.ivc.clamp</vt:lpstr>
      <vt:lpstr>'Wide Dimming Buckboost'!T.ivc.start</vt:lpstr>
      <vt:lpstr>'Wide I&amp;O Buckboost'!T.ivc.start</vt:lpstr>
      <vt:lpstr>'Wide I&amp;O Flyback'!T.ivc.start</vt:lpstr>
      <vt:lpstr>T.ivc.start</vt:lpstr>
      <vt:lpstr>'Wide Dimming Buckboost'!T.ivc.stop</vt:lpstr>
      <vt:lpstr>'Wide I&amp;O Buckboost'!T.ivc.stop</vt:lpstr>
      <vt:lpstr>'Wide I&amp;O Flyback'!T.ivc.stop</vt:lpstr>
      <vt:lpstr>T.ivc.stop</vt:lpstr>
      <vt:lpstr>'Wide Dimming Buckboost'!Tdis.max</vt:lpstr>
      <vt:lpstr>'Wide I&amp;O Buckboost'!Tdis.max</vt:lpstr>
      <vt:lpstr>'Wide I&amp;O Flyback'!Tdis.max</vt:lpstr>
      <vt:lpstr>Tdis.max</vt:lpstr>
      <vt:lpstr>'Wide Dimming Buckboost'!Ton.min</vt:lpstr>
      <vt:lpstr>Ton.min</vt:lpstr>
      <vt:lpstr>'Wide Dimming Buckboost'!Top.maxVin.180PA.wOTC</vt:lpstr>
      <vt:lpstr>'Wide Dimming Buckboost'!Tpd</vt:lpstr>
      <vt:lpstr>'Wide I&amp;O Buckboost'!Tpd</vt:lpstr>
      <vt:lpstr>'Wide I&amp;O Flyback'!Tpd</vt:lpstr>
      <vt:lpstr>Tpd</vt:lpstr>
      <vt:lpstr>'Wide Dimming Buckboost'!Ts</vt:lpstr>
      <vt:lpstr>'Wide I&amp;O Buckboost'!Ts</vt:lpstr>
      <vt:lpstr>'Wide I&amp;O Flyback'!Ts</vt:lpstr>
      <vt:lpstr>Ts</vt:lpstr>
      <vt:lpstr>'Wide Dimming Buckboost'!Ts_D</vt:lpstr>
      <vt:lpstr>'Wide I&amp;O Buckboost'!Ts_D</vt:lpstr>
      <vt:lpstr>'Wide I&amp;O Flyback'!Ts_D</vt:lpstr>
      <vt:lpstr>Ts_D</vt:lpstr>
      <vt:lpstr>'Wide Dimming Buckboost'!V.FB.DIG.START</vt:lpstr>
      <vt:lpstr>V.FB.DIG.START</vt:lpstr>
      <vt:lpstr>'Wide I&amp;O Flyback'!V.SN.MIN.ND</vt:lpstr>
      <vt:lpstr>V.SN.MIN.ND</vt:lpstr>
      <vt:lpstr>'Wide I&amp;O Flyback'!V.SW.DP.TH</vt:lpstr>
      <vt:lpstr>V.SW.DP.TH</vt:lpstr>
      <vt:lpstr>'Wide I&amp;O Flyback'!V.ZD.DP1</vt:lpstr>
      <vt:lpstr>V.ZD.DP1</vt:lpstr>
      <vt:lpstr>'Wide Dimming Buckboost'!Vcs.pk.ini</vt:lpstr>
      <vt:lpstr>'Wide I&amp;O Buckboost'!Vcs.pk.ini</vt:lpstr>
      <vt:lpstr>'Wide I&amp;O Flyback'!Vcs.pk.ini</vt:lpstr>
      <vt:lpstr>Vcs.pk.ini</vt:lpstr>
      <vt:lpstr>'Wide Dimming Buckboost'!Vf</vt:lpstr>
      <vt:lpstr>'Wide I&amp;O Buckboost'!Vf</vt:lpstr>
      <vt:lpstr>'Wide I&amp;O Flyback'!Vf</vt:lpstr>
      <vt:lpstr>Vf</vt:lpstr>
      <vt:lpstr>'Wide Dimming Buckboost'!Vf.max.icc</vt:lpstr>
      <vt:lpstr>'Wide I&amp;O Buckboost'!Vf.max.icc</vt:lpstr>
      <vt:lpstr>'Wide I&amp;O Flyback'!Vf.max.icc</vt:lpstr>
      <vt:lpstr>Vf.max.icc</vt:lpstr>
      <vt:lpstr>'Wide Dimming Buckboost'!Vf.min.icc</vt:lpstr>
      <vt:lpstr>'Wide I&amp;O Buckboost'!Vf.min.icc</vt:lpstr>
      <vt:lpstr>'Wide I&amp;O Flyback'!Vf.min.icc</vt:lpstr>
      <vt:lpstr>Vf.min.icc</vt:lpstr>
      <vt:lpstr>'Wide Dimming Buckboost'!VFB.BOUND</vt:lpstr>
      <vt:lpstr>VFB.BOUND</vt:lpstr>
      <vt:lpstr>'Wide I&amp;O Buckboost'!VHOLD</vt:lpstr>
      <vt:lpstr>VHOLD</vt:lpstr>
      <vt:lpstr>'Wide Dimming Buckboost'!VIN.BNK.D</vt:lpstr>
      <vt:lpstr>'Wide I&amp;O Buckboost'!VIN.BNK.D</vt:lpstr>
      <vt:lpstr>'Wide I&amp;O Flyback'!VIN.BNK.D</vt:lpstr>
      <vt:lpstr>VIN.BNK.D</vt:lpstr>
      <vt:lpstr>'Wide Dimming Buckboost'!VIN.BNK.F</vt:lpstr>
      <vt:lpstr>'Wide I&amp;O Buckboost'!VIN.BNK.F</vt:lpstr>
      <vt:lpstr>'Wide I&amp;O Flyback'!VIN.BNK.F</vt:lpstr>
      <vt:lpstr>VIN.BNK.F</vt:lpstr>
      <vt:lpstr>'Wide Dimming Buckboost'!VIN.BNK.ND</vt:lpstr>
      <vt:lpstr>'Wide I&amp;O Buckboost'!VIN.BNK.ND</vt:lpstr>
      <vt:lpstr>'Wide I&amp;O Flyback'!VIN.BNK.ND</vt:lpstr>
      <vt:lpstr>VIN.BNK.ND</vt:lpstr>
      <vt:lpstr>'Wide Dimming Buckboost'!Vin.ini</vt:lpstr>
      <vt:lpstr>'Wide I&amp;O Buckboost'!Vin.ini</vt:lpstr>
      <vt:lpstr>'Wide I&amp;O Flyback'!Vin.ini</vt:lpstr>
      <vt:lpstr>Vin.ini</vt:lpstr>
      <vt:lpstr>'Wide Dimming Buckboost'!Vin.ivc.clamp</vt:lpstr>
      <vt:lpstr>'Wide I&amp;O Buckboost'!Vin.ivc.clamp</vt:lpstr>
      <vt:lpstr>'Wide I&amp;O Flyback'!Vin.ivc.clamp</vt:lpstr>
      <vt:lpstr>Vin.ivc.clamp</vt:lpstr>
      <vt:lpstr>'Wide Dimming Buckboost'!Vin.ivc.start</vt:lpstr>
      <vt:lpstr>'Wide I&amp;O Buckboost'!Vin.ivc.start</vt:lpstr>
      <vt:lpstr>'Wide I&amp;O Flyback'!Vin.ivc.start</vt:lpstr>
      <vt:lpstr>Vin.ivc.start</vt:lpstr>
      <vt:lpstr>'Wide Dimming Buckboost'!Vin_ivc_pk</vt:lpstr>
      <vt:lpstr>'Wide I&amp;O Buckboost'!Vin_ivc_pk</vt:lpstr>
      <vt:lpstr>'Wide I&amp;O Flyback'!Vin_ivc_pk</vt:lpstr>
      <vt:lpstr>Vin_ivc_pk</vt:lpstr>
      <vt:lpstr>'Wide Dimming Buckboost'!VMOD.OPEN.START</vt:lpstr>
      <vt:lpstr>VMOD.OPEN.START</vt:lpstr>
      <vt:lpstr>'Wide Dimming Buckboost'!Vref</vt:lpstr>
      <vt:lpstr>'Wide I&amp;O Buckboost'!Vref</vt:lpstr>
      <vt:lpstr>'Wide I&amp;O Flyback'!Vref</vt:lpstr>
      <vt:lpstr>Vref</vt:lpstr>
      <vt:lpstr>'Wide I&amp;O Flyback'!Vsn</vt:lpstr>
      <vt:lpstr>Vsn</vt:lpstr>
      <vt:lpstr>'Wide I&amp;O Flyback'!Vsn.r</vt:lpstr>
      <vt:lpstr>Vsn.r</vt:lpstr>
      <vt:lpstr>'Wide Dimming Buckboost'!Vth.max.icc</vt:lpstr>
      <vt:lpstr>Vth.max.icc</vt:lpstr>
      <vt:lpstr>'Wide Dimming Buckboost'!Vth.min.icc</vt:lpstr>
      <vt:lpstr>Vth.min.icc</vt:lpstr>
      <vt:lpstr>'Wide Dimming Buckboost'!VTOP.MAX</vt:lpstr>
      <vt:lpstr>VTOP.MAX</vt:lpstr>
      <vt:lpstr>'Wide Dimming Buckboost'!Vvs.ovp</vt:lpstr>
      <vt:lpstr>'Wide I&amp;O Buckboost'!Vvs.ovp</vt:lpstr>
      <vt:lpstr>'Wide I&amp;O Flyback'!Vvs.ovp</vt:lpstr>
      <vt:lpstr>Vvs.ovp</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dc:creator>
  <cp:lastModifiedBy>Windows User</cp:lastModifiedBy>
  <dcterms:created xsi:type="dcterms:W3CDTF">2014-09-12T06:03:03Z</dcterms:created>
  <dcterms:modified xsi:type="dcterms:W3CDTF">2017-07-17T01:36:19Z</dcterms:modified>
</cp:coreProperties>
</file>