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2056" windowHeight="9792"/>
  </bookViews>
  <sheets>
    <sheet name="FL7740 Design Tool" sheetId="1" r:id="rId1"/>
  </sheets>
  <definedNames>
    <definedName name="Ae">'FL7740 Design Tool'!$D$14</definedName>
    <definedName name="Bmax">'FL7740 Design Tool'!$I$28</definedName>
    <definedName name="Cemi">'FL7740 Design Tool'!$L$9</definedName>
    <definedName name="Cpf">'FL7740 Design Tool'!$S$4</definedName>
    <definedName name="Csn">'FL7740 Design Tool'!$H$19</definedName>
    <definedName name="eff">'FL7740 Design Tool'!$D$10</definedName>
    <definedName name="fline">'FL7740 Design Tool'!$D$26</definedName>
    <definedName name="fsw_actual">'FL7740 Design Tool'!$H$9</definedName>
    <definedName name="fsw_bcm">'FL7740 Design Tool'!$H$8</definedName>
    <definedName name="fsw_dcm">'FL7740 Design Tool'!$D$16</definedName>
    <definedName name="Iin_max_actual">'FL7740 Design Tool'!$H$4</definedName>
    <definedName name="Iin_max_bcm">'FL7740 Design Tool'!$H$3</definedName>
    <definedName name="Iin_max_dcm">'FL7740 Design Tool'!$D$19</definedName>
    <definedName name="Iout1">'FL7740 Design Tool'!$D$28</definedName>
    <definedName name="Iout2">'FL7740 Design Tool'!$D$8</definedName>
    <definedName name="Ipf_initial">'FL7740 Design Tool'!$L$19</definedName>
    <definedName name="Ipk_max_actual">'FL7740 Design Tool'!$H$10</definedName>
    <definedName name="Ipk_max_dcm">'FL7740 Design Tool'!$D$18</definedName>
    <definedName name="Isw_rms">'FL7740 Design Tool'!$S$10</definedName>
    <definedName name="Ivs_max">'FL7740 Design Tool'!$L$5</definedName>
    <definedName name="Llk">'FL7740 Design Tool'!$H$17</definedName>
    <definedName name="Lm">'FL7740 Design Tool'!$D$13</definedName>
    <definedName name="Lm_rec">'FL7740 Design Tool'!$D$12</definedName>
    <definedName name="Np">'FL7740 Design Tool'!$I$30</definedName>
    <definedName name="npa">'FL7740 Design Tool'!$H$15</definedName>
    <definedName name="Npf">'FL7740 Design Tool'!$L$10</definedName>
    <definedName name="nps_1">'FL7740 Design Tool'!$H$12</definedName>
    <definedName name="nps_2">'FL7740 Design Tool'!$H$13</definedName>
    <definedName name="Ns_1">'FL7740 Design Tool'!$I$32</definedName>
    <definedName name="Ns_2">'FL7740 Design Tool'!$I$33</definedName>
    <definedName name="Pin">'FL7740 Design Tool'!$D$32</definedName>
    <definedName name="Pout">'FL7740 Design Tool'!$D$33</definedName>
    <definedName name="Rout1">'FL7740 Design Tool'!$D$6</definedName>
    <definedName name="Rpf_1_actual">'FL7740 Design Tool'!$L$16</definedName>
    <definedName name="Rpf_1_rec">'FL7740 Design Tool'!$L$14</definedName>
    <definedName name="Rpf_2_actual">'FL7740 Design Tool'!$L$17</definedName>
    <definedName name="Rpf_2_rec">'FL7740 Design Tool'!$L$15</definedName>
    <definedName name="Rpf_total">'FL7740 Design Tool'!$L$13</definedName>
    <definedName name="Rsn">'FL7740 Design Tool'!$H$18</definedName>
    <definedName name="Rvs_1">'FL7740 Design Tool'!$L$7</definedName>
    <definedName name="Rvs_2">'FL7740 Design Tool'!$L$8</definedName>
    <definedName name="Ton_max_actual">'FL7740 Design Tool'!$H$6</definedName>
    <definedName name="Ton_max_bcm">'FL7740 Design Tool'!$H$5</definedName>
    <definedName name="Ton_max_dcm">'FL7740 Design Tool'!$D$17</definedName>
    <definedName name="Ts_bcm">'FL7740 Design Tool'!$H$7</definedName>
    <definedName name="Vaux_neg_max">'FL7740 Design Tool'!$L$4</definedName>
    <definedName name="VDD">'FL7740 Design Tool'!$D$9</definedName>
    <definedName name="Vin_max">'FL7740 Design Tool'!$D$25</definedName>
    <definedName name="Vin_min">'FL7740 Design Tool'!$D$24</definedName>
    <definedName name="Vin_pk_max">'FL7740 Design Tool'!$D$5</definedName>
    <definedName name="Vin_pk_min">'FL7740 Design Tool'!$D$4</definedName>
    <definedName name="Vout1">'FL7740 Design Tool'!$D$27</definedName>
    <definedName name="Vout1_ripple_set0">'FL7740 Design Tool'!$S$5</definedName>
    <definedName name="Vout1_ripple_set1">'FL7740 Design Tool'!$S$7</definedName>
    <definedName name="Vout2">'FL7740 Design Tool'!$D$7</definedName>
    <definedName name="Vpf">'FL7740 Design Tool'!$L$12</definedName>
    <definedName name="Vpf_initial">'FL7740 Design Tool'!$L$18</definedName>
    <definedName name="Vref">'FL7740 Design Tool'!$L$6</definedName>
    <definedName name="Vreflect">'FL7740 Design Tool'!$H$11</definedName>
    <definedName name="Vsn">'FL7740 Design Tool'!$I$38</definedName>
    <definedName name="Vsn_d">'FL7740 Design Tool'!$I$39</definedName>
    <definedName name="weight">'FL7740 Design Tool'!$L$11</definedName>
  </definedNames>
  <calcPr calcId="125725"/>
</workbook>
</file>

<file path=xl/calcChain.xml><?xml version="1.0" encoding="utf-8"?>
<calcChain xmlns="http://schemas.openxmlformats.org/spreadsheetml/2006/main">
  <c r="I29" i="1"/>
  <c r="H11"/>
  <c r="S5"/>
  <c r="S7"/>
  <c r="D6"/>
  <c r="L17"/>
  <c r="L16"/>
  <c r="L18" s="1"/>
  <c r="L9"/>
  <c r="S6" l="1"/>
  <c r="N37" s="1"/>
  <c r="S8"/>
  <c r="N39" s="1"/>
  <c r="L19"/>
  <c r="S4" s="1"/>
  <c r="N38" s="1"/>
  <c r="L5"/>
  <c r="H17"/>
  <c r="H12"/>
  <c r="D14"/>
  <c r="D10"/>
  <c r="H15" l="1"/>
  <c r="D13" l="1"/>
  <c r="L10" s="1"/>
  <c r="L12" s="1"/>
  <c r="L15" s="1"/>
  <c r="D7"/>
  <c r="D8"/>
  <c r="D5"/>
  <c r="D4"/>
  <c r="S34" l="1"/>
  <c r="S31"/>
  <c r="H13"/>
  <c r="S36" s="1"/>
  <c r="L4"/>
  <c r="L7" s="1"/>
  <c r="N33"/>
  <c r="L14"/>
  <c r="N32" s="1"/>
  <c r="I34"/>
  <c r="D33"/>
  <c r="I33" l="1"/>
  <c r="N28"/>
  <c r="L8"/>
  <c r="N29" s="1"/>
  <c r="I32"/>
  <c r="D12"/>
  <c r="D32"/>
  <c r="D17" s="1"/>
  <c r="D19" l="1"/>
  <c r="D18"/>
  <c r="H3"/>
  <c r="I25"/>
  <c r="I24"/>
  <c r="H4" l="1"/>
  <c r="H5" l="1"/>
  <c r="H6" s="1"/>
  <c r="H7" l="1"/>
  <c r="H8" s="1"/>
  <c r="H9" s="1"/>
  <c r="S10" s="1"/>
  <c r="S33" s="1"/>
  <c r="H10"/>
  <c r="S35" l="1"/>
  <c r="S32"/>
  <c r="N27"/>
  <c r="H18"/>
  <c r="I40" l="1"/>
  <c r="H19"/>
  <c r="I41" s="1"/>
</calcChain>
</file>

<file path=xl/comments1.xml><?xml version="1.0" encoding="utf-8"?>
<comments xmlns="http://schemas.openxmlformats.org/spreadsheetml/2006/main">
  <authors>
    <author>Windows User</author>
  </authors>
  <commentList>
    <comment ref="F3" authorId="0">
      <text>
        <r>
          <rPr>
            <b/>
            <sz val="9"/>
            <color indexed="81"/>
            <rFont val="Tahoma"/>
            <family val="2"/>
          </rPr>
          <t>Iin.max.bcm condition is BCM operation with Ton at DCM.</t>
        </r>
      </text>
    </comment>
    <comment ref="B7" authorId="0">
      <text>
        <r>
          <rPr>
            <b/>
            <sz val="9"/>
            <color indexed="81"/>
            <rFont val="Tahoma"/>
            <family val="2"/>
          </rPr>
          <t>Recommended Cout2 regulation voltage is Vout2 x 2.5.</t>
        </r>
      </text>
    </comment>
    <comment ref="G26" authorId="0">
      <text>
        <r>
          <rPr>
            <b/>
            <sz val="9"/>
            <color indexed="81"/>
            <rFont val="Tahoma"/>
            <family val="2"/>
          </rPr>
          <t>Select Lm between the above min. and max. Lm.
As Lm increases, efficiency is better.
As Lm decreases, THD is better.</t>
        </r>
      </text>
    </comment>
    <comment ref="Q26" authorId="0">
      <text>
        <r>
          <rPr>
            <b/>
            <sz val="9"/>
            <color indexed="81"/>
            <rFont val="Tahoma"/>
            <family val="2"/>
          </rPr>
          <t>When designing multi-output (Vout2 is MCU VDD supply), 
add Cvdd3, Rvdd and ZDvdd for better cross regulation.
When designing single-output only for Vout1,
this circuit can be removed.</t>
        </r>
      </text>
    </comment>
    <comment ref="L27" authorId="0">
      <text>
        <r>
          <rPr>
            <b/>
            <sz val="9"/>
            <color indexed="81"/>
            <rFont val="Tahoma"/>
            <family val="2"/>
          </rPr>
          <t>Check Vcs peak voltage at min. Vin and full load condition.
Adjust Rcs to limit Vcs peak voltage less than 1V.
(Pulse by pulse current limit spec (min/typ/max) is 1.1V/1.2V/1.3V.)</t>
        </r>
      </text>
    </comment>
    <comment ref="Q27" authorId="0">
      <text>
        <r>
          <rPr>
            <b/>
            <sz val="9"/>
            <color indexed="81"/>
            <rFont val="Tahoma"/>
            <family val="2"/>
          </rPr>
          <t>When designing multi-output (Vout2 is MCU VDD supply), 
add Cvdd3, Rvdd and ZDvdd for better cross regulation.
When designing single-output only for Vout1,
this circuit can be removed.</t>
        </r>
      </text>
    </comment>
    <comment ref="Q28" authorId="0">
      <text>
        <r>
          <rPr>
            <b/>
            <sz val="9"/>
            <color indexed="81"/>
            <rFont val="Tahoma"/>
            <family val="2"/>
          </rPr>
          <t>When designing multi-output (Vout2 is MCU VDD supply), 
add Cvdd3, Rvdd and ZDvdd for better cross regulation.
When designing single-output only for Vout1,
this circuit can be removed.</t>
        </r>
      </text>
    </comment>
    <comment ref="B29" authorId="0">
      <text>
        <r>
          <rPr>
            <b/>
            <sz val="9"/>
            <color indexed="81"/>
            <rFont val="Tahoma"/>
            <family val="2"/>
          </rPr>
          <t>Vout2 is MCU VDD supply voltage. LDO input will be 2.5 times larger than Vout2.</t>
        </r>
      </text>
    </comment>
    <comment ref="B30" authorId="0">
      <text>
        <r>
          <rPr>
            <b/>
            <sz val="9"/>
            <color indexed="81"/>
            <rFont val="Tahoma"/>
            <charset val="1"/>
          </rPr>
          <t>Vout2 is MCU VDD supply voltage. Therefore, Iout2 is generally less than 50 mA.</t>
        </r>
      </text>
    </comment>
    <comment ref="L30" authorId="0">
      <text>
        <r>
          <rPr>
            <b/>
            <sz val="9"/>
            <color indexed="81"/>
            <rFont val="Tahoma"/>
            <family val="2"/>
          </rPr>
          <t>Larger Cvs filters VS spike noise at gate turn-off.
Smaller Cvs provides more accurate aux. voltage for output voltage detection.
Recommended Cvs selection range is 0 ~ 5 pF.</t>
        </r>
        <r>
          <rPr>
            <sz val="9"/>
            <color indexed="81"/>
            <rFont val="Tahoma"/>
            <family val="2"/>
          </rPr>
          <t xml:space="preserve">
</t>
        </r>
      </text>
    </comment>
    <comment ref="G31" authorId="0">
      <text>
        <r>
          <rPr>
            <b/>
            <sz val="9"/>
            <color indexed="81"/>
            <rFont val="Tahoma"/>
            <family val="2"/>
          </rPr>
          <t>Select reflected output voltage in the primary winding 
based on breakdown voltage of switching MOSFET and secondary diode.</t>
        </r>
      </text>
    </comment>
    <comment ref="L31" authorId="0">
      <text>
        <r>
          <rPr>
            <b/>
            <sz val="9"/>
            <color indexed="81"/>
            <rFont val="Tahoma"/>
            <family val="2"/>
          </rPr>
          <t>Sum of EMI filter capacitors.
CE1 is all capacitance in front of bridge diode.
CE2 is all capacitance behind bridge diode.</t>
        </r>
      </text>
    </comment>
    <comment ref="L34" authorId="0">
      <text>
        <r>
          <rPr>
            <b/>
            <sz val="9"/>
            <color indexed="81"/>
            <rFont val="Tahoma"/>
            <family val="2"/>
          </rPr>
          <t>Start from initial Rvs1 and Rvs2.
With lower Rvs1 and higher Rvs2, PF will be better.
With higher Rvs1 and lower Rvs2, THD will be better.
Find the best Rvs1 and Rvs2 based on user's PF and THD spec.</t>
        </r>
        <r>
          <rPr>
            <sz val="9"/>
            <color indexed="81"/>
            <rFont val="Tahoma"/>
            <family val="2"/>
          </rPr>
          <t xml:space="preserve">
</t>
        </r>
      </text>
    </comment>
    <comment ref="L35" authorId="0">
      <text>
        <r>
          <rPr>
            <b/>
            <sz val="9"/>
            <color indexed="81"/>
            <rFont val="Tahoma"/>
            <family val="2"/>
          </rPr>
          <t>Start from initial Rvs1 and Rvs2.
With lower Rvs1 and higher Rvs2, PF will be better.
With higher Rvs1 and lower Rvs2, THD will be better.
Find the best Rvs1 and Rvs2 based on user's PF and THD spec.</t>
        </r>
      </text>
    </comment>
    <comment ref="L36" authorId="0">
      <text>
        <r>
          <rPr>
            <b/>
            <sz val="9"/>
            <color indexed="81"/>
            <rFont val="Tahoma"/>
            <family val="2"/>
          </rPr>
          <t>If user wants Vout overshoot and undershoot less than +/-10% Vout, choose this Cpf value.
Output ripple at steady state MUST be less than +/- 3% Vout.
Select Cout1 at least bigger than below "Cout1 for 10% Vout" value.</t>
        </r>
      </text>
    </comment>
    <comment ref="L38" authorId="0">
      <text>
        <r>
          <rPr>
            <b/>
            <sz val="9"/>
            <color indexed="81"/>
            <rFont val="Tahoma"/>
            <family val="2"/>
          </rPr>
          <t>If user wants Vout overshoot and undershoot less than +/-15% Vout, choose this Cpf value.
Output ripple at steady state MUST be less than +/- 7% Vout.
Select Cout1 at least bigger than below "Cout1 for 15% Vout" value.</t>
        </r>
      </text>
    </comment>
  </commentList>
</comments>
</file>

<file path=xl/sharedStrings.xml><?xml version="1.0" encoding="utf-8"?>
<sst xmlns="http://schemas.openxmlformats.org/spreadsheetml/2006/main" count="216" uniqueCount="132">
  <si>
    <t>Input &amp; Output Spec</t>
  </si>
  <si>
    <r>
      <t>Min. V</t>
    </r>
    <r>
      <rPr>
        <b/>
        <vertAlign val="subscript"/>
        <sz val="11"/>
        <color theme="1"/>
        <rFont val="Calibri"/>
        <family val="2"/>
        <scheme val="minor"/>
      </rPr>
      <t>IN</t>
    </r>
  </si>
  <si>
    <t>V</t>
  </si>
  <si>
    <r>
      <t>V</t>
    </r>
    <r>
      <rPr>
        <b/>
        <vertAlign val="subscript"/>
        <sz val="11"/>
        <color theme="1"/>
        <rFont val="Calibri"/>
        <family val="2"/>
        <scheme val="minor"/>
      </rPr>
      <t>AC</t>
    </r>
  </si>
  <si>
    <r>
      <t>Max. V</t>
    </r>
    <r>
      <rPr>
        <b/>
        <vertAlign val="subscript"/>
        <sz val="11"/>
        <color theme="1"/>
        <rFont val="Calibri"/>
        <family val="2"/>
        <scheme val="minor"/>
      </rPr>
      <t>IN</t>
    </r>
  </si>
  <si>
    <t>Min. Vin.pk</t>
  </si>
  <si>
    <t>Max. Vin.pk</t>
  </si>
  <si>
    <r>
      <t>V</t>
    </r>
    <r>
      <rPr>
        <b/>
        <vertAlign val="subscript"/>
        <sz val="11"/>
        <color theme="1"/>
        <rFont val="Calibri"/>
        <family val="2"/>
        <scheme val="minor"/>
      </rPr>
      <t>OUT1</t>
    </r>
  </si>
  <si>
    <r>
      <t>V</t>
    </r>
    <r>
      <rPr>
        <b/>
        <vertAlign val="subscript"/>
        <sz val="11"/>
        <color theme="1"/>
        <rFont val="Calibri"/>
        <family val="2"/>
        <scheme val="minor"/>
      </rPr>
      <t>OUT2</t>
    </r>
  </si>
  <si>
    <r>
      <t>I</t>
    </r>
    <r>
      <rPr>
        <b/>
        <vertAlign val="subscript"/>
        <sz val="11"/>
        <color theme="1"/>
        <rFont val="Calibri"/>
        <family val="2"/>
        <scheme val="minor"/>
      </rPr>
      <t>OUT1</t>
    </r>
  </si>
  <si>
    <t>A</t>
  </si>
  <si>
    <r>
      <t>I</t>
    </r>
    <r>
      <rPr>
        <b/>
        <vertAlign val="subscript"/>
        <sz val="11"/>
        <color theme="1"/>
        <rFont val="Calibri"/>
        <family val="2"/>
        <scheme val="minor"/>
      </rPr>
      <t>OUT2</t>
    </r>
  </si>
  <si>
    <t>mA</t>
  </si>
  <si>
    <t>Iout2</t>
  </si>
  <si>
    <r>
      <t>P</t>
    </r>
    <r>
      <rPr>
        <b/>
        <vertAlign val="subscript"/>
        <sz val="11"/>
        <color theme="1"/>
        <rFont val="Calibri"/>
        <family val="2"/>
        <scheme val="minor"/>
      </rPr>
      <t>OUT</t>
    </r>
  </si>
  <si>
    <t>W</t>
  </si>
  <si>
    <t>Vout2</t>
  </si>
  <si>
    <t>Input &amp; Output</t>
  </si>
  <si>
    <t>Transformer</t>
  </si>
  <si>
    <r>
      <t>L</t>
    </r>
    <r>
      <rPr>
        <b/>
        <vertAlign val="subscript"/>
        <sz val="11"/>
        <color theme="1"/>
        <rFont val="Calibri"/>
        <family val="2"/>
        <scheme val="minor"/>
      </rPr>
      <t>M</t>
    </r>
  </si>
  <si>
    <t>uH</t>
  </si>
  <si>
    <t>H</t>
  </si>
  <si>
    <r>
      <t>Min. L</t>
    </r>
    <r>
      <rPr>
        <b/>
        <vertAlign val="subscript"/>
        <sz val="11"/>
        <color theme="1"/>
        <rFont val="Calibri"/>
        <family val="2"/>
        <scheme val="minor"/>
      </rPr>
      <t>M</t>
    </r>
  </si>
  <si>
    <r>
      <t>Max. L</t>
    </r>
    <r>
      <rPr>
        <b/>
        <vertAlign val="subscript"/>
        <sz val="11"/>
        <color theme="1"/>
        <rFont val="Calibri"/>
        <family val="2"/>
        <scheme val="minor"/>
      </rPr>
      <t>M</t>
    </r>
  </si>
  <si>
    <t>Lm (recommended)</t>
  </si>
  <si>
    <t>Lm (selected)</t>
  </si>
  <si>
    <t>Efficiency</t>
  </si>
  <si>
    <t>%</t>
  </si>
  <si>
    <t>Ae</t>
  </si>
  <si>
    <r>
      <t>mm</t>
    </r>
    <r>
      <rPr>
        <b/>
        <vertAlign val="superscript"/>
        <sz val="11"/>
        <color theme="1"/>
        <rFont val="Calibri"/>
        <family val="2"/>
        <scheme val="minor"/>
      </rPr>
      <t>2</t>
    </r>
  </si>
  <si>
    <t>Bmax</t>
  </si>
  <si>
    <t>T</t>
  </si>
  <si>
    <r>
      <t>Min. N</t>
    </r>
    <r>
      <rPr>
        <b/>
        <vertAlign val="subscript"/>
        <sz val="11"/>
        <color theme="1"/>
        <rFont val="Calibri"/>
        <family val="2"/>
        <scheme val="minor"/>
      </rPr>
      <t>P</t>
    </r>
  </si>
  <si>
    <t>turns</t>
  </si>
  <si>
    <r>
      <t>P</t>
    </r>
    <r>
      <rPr>
        <b/>
        <vertAlign val="subscript"/>
        <sz val="11"/>
        <color theme="1"/>
        <rFont val="Calibri"/>
        <family val="2"/>
        <scheme val="minor"/>
      </rPr>
      <t>IN</t>
    </r>
  </si>
  <si>
    <t>sec</t>
  </si>
  <si>
    <t>Hz</t>
  </si>
  <si>
    <t>m2</t>
  </si>
  <si>
    <r>
      <t>N</t>
    </r>
    <r>
      <rPr>
        <b/>
        <vertAlign val="subscript"/>
        <sz val="11"/>
        <color theme="1"/>
        <rFont val="Calibri"/>
        <family val="2"/>
        <scheme val="minor"/>
      </rPr>
      <t>P</t>
    </r>
  </si>
  <si>
    <r>
      <t>N</t>
    </r>
    <r>
      <rPr>
        <b/>
        <vertAlign val="subscript"/>
        <sz val="11"/>
        <color theme="1"/>
        <rFont val="Calibri"/>
        <family val="2"/>
        <scheme val="minor"/>
      </rPr>
      <t>S1</t>
    </r>
  </si>
  <si>
    <r>
      <t>N</t>
    </r>
    <r>
      <rPr>
        <b/>
        <vertAlign val="subscript"/>
        <sz val="11"/>
        <color theme="1"/>
        <rFont val="Calibri"/>
        <family val="2"/>
        <scheme val="minor"/>
      </rPr>
      <t>S2</t>
    </r>
  </si>
  <si>
    <r>
      <t>N</t>
    </r>
    <r>
      <rPr>
        <b/>
        <vertAlign val="subscript"/>
        <sz val="11"/>
        <color theme="1"/>
        <rFont val="Calibri"/>
        <family val="2"/>
        <scheme val="minor"/>
      </rPr>
      <t>A</t>
    </r>
  </si>
  <si>
    <t>nps1</t>
  </si>
  <si>
    <t>nps2</t>
  </si>
  <si>
    <t>npa</t>
  </si>
  <si>
    <t>RCD snubber</t>
  </si>
  <si>
    <r>
      <t>L</t>
    </r>
    <r>
      <rPr>
        <b/>
        <vertAlign val="subscript"/>
        <sz val="11"/>
        <color theme="1"/>
        <rFont val="Calibri"/>
        <family val="2"/>
        <scheme val="minor"/>
      </rPr>
      <t>LK</t>
    </r>
  </si>
  <si>
    <t>Ipk.max.actual</t>
  </si>
  <si>
    <t>Iin.max.bcm</t>
  </si>
  <si>
    <t>Iin.max.dcm</t>
  </si>
  <si>
    <t>Iin.max.actual</t>
  </si>
  <si>
    <t>Max. Ton.actual</t>
  </si>
  <si>
    <t>Max. Ton.dcm</t>
  </si>
  <si>
    <t>Ipk.max.dcm</t>
  </si>
  <si>
    <t>Max. Ton.bcm</t>
  </si>
  <si>
    <t>Ts.bcm</t>
  </si>
  <si>
    <t>fsw.bcm</t>
  </si>
  <si>
    <t>fsw.dcm</t>
  </si>
  <si>
    <t>Vreflect</t>
  </si>
  <si>
    <t>Ipk.max.actual calculation</t>
  </si>
  <si>
    <r>
      <t>V</t>
    </r>
    <r>
      <rPr>
        <b/>
        <vertAlign val="subscript"/>
        <sz val="11"/>
        <color theme="1"/>
        <rFont val="Calibri"/>
        <family val="2"/>
        <scheme val="minor"/>
      </rPr>
      <t>SN</t>
    </r>
  </si>
  <si>
    <r>
      <t>∆V</t>
    </r>
    <r>
      <rPr>
        <b/>
        <vertAlign val="subscript"/>
        <sz val="11"/>
        <color theme="1"/>
        <rFont val="Calibri"/>
        <family val="2"/>
        <scheme val="minor"/>
      </rPr>
      <t>SN</t>
    </r>
  </si>
  <si>
    <t>fsw.actual</t>
  </si>
  <si>
    <t>Rsn</t>
  </si>
  <si>
    <t>ohm</t>
  </si>
  <si>
    <t>Llk</t>
  </si>
  <si>
    <r>
      <t>R</t>
    </r>
    <r>
      <rPr>
        <b/>
        <vertAlign val="subscript"/>
        <sz val="11"/>
        <color theme="1"/>
        <rFont val="Calibri"/>
        <family val="2"/>
        <scheme val="minor"/>
      </rPr>
      <t>SN</t>
    </r>
  </si>
  <si>
    <t>kohm</t>
  </si>
  <si>
    <t>F</t>
  </si>
  <si>
    <t>Csn</t>
  </si>
  <si>
    <r>
      <t>C</t>
    </r>
    <r>
      <rPr>
        <b/>
        <vertAlign val="subscript"/>
        <sz val="11"/>
        <color theme="1"/>
        <rFont val="Calibri"/>
        <family val="2"/>
        <scheme val="minor"/>
      </rPr>
      <t>SN</t>
    </r>
  </si>
  <si>
    <t>nF</t>
  </si>
  <si>
    <t>Control circuit</t>
  </si>
  <si>
    <r>
      <t>R</t>
    </r>
    <r>
      <rPr>
        <b/>
        <vertAlign val="subscript"/>
        <sz val="11"/>
        <color theme="1"/>
        <rFont val="Calibri"/>
        <family val="2"/>
        <scheme val="minor"/>
      </rPr>
      <t>HV</t>
    </r>
  </si>
  <si>
    <r>
      <t>C</t>
    </r>
    <r>
      <rPr>
        <b/>
        <vertAlign val="subscript"/>
        <sz val="11"/>
        <color theme="1"/>
        <rFont val="Calibri"/>
        <family val="2"/>
        <scheme val="minor"/>
      </rPr>
      <t>COMV</t>
    </r>
  </si>
  <si>
    <r>
      <t>C</t>
    </r>
    <r>
      <rPr>
        <b/>
        <vertAlign val="subscript"/>
        <sz val="11"/>
        <color theme="1"/>
        <rFont val="Calibri"/>
        <family val="2"/>
        <scheme val="minor"/>
      </rPr>
      <t>BIAS</t>
    </r>
  </si>
  <si>
    <r>
      <t>R</t>
    </r>
    <r>
      <rPr>
        <b/>
        <vertAlign val="subscript"/>
        <sz val="11"/>
        <color theme="1"/>
        <rFont val="Calibri"/>
        <family val="2"/>
        <scheme val="minor"/>
      </rPr>
      <t>CS</t>
    </r>
  </si>
  <si>
    <r>
      <t>R</t>
    </r>
    <r>
      <rPr>
        <b/>
        <vertAlign val="subscript"/>
        <sz val="11"/>
        <color theme="1"/>
        <rFont val="Calibri"/>
        <family val="2"/>
        <scheme val="minor"/>
      </rPr>
      <t>VS1</t>
    </r>
  </si>
  <si>
    <r>
      <t>R</t>
    </r>
    <r>
      <rPr>
        <b/>
        <vertAlign val="subscript"/>
        <sz val="11"/>
        <color theme="1"/>
        <rFont val="Calibri"/>
        <family val="2"/>
        <scheme val="minor"/>
      </rPr>
      <t>VS2</t>
    </r>
  </si>
  <si>
    <t>Vaux.neg.max</t>
  </si>
  <si>
    <t>Ivs.max</t>
  </si>
  <si>
    <t>Rvs1</t>
  </si>
  <si>
    <t>Vref</t>
  </si>
  <si>
    <t>Rvs2</t>
  </si>
  <si>
    <r>
      <t>Max. C</t>
    </r>
    <r>
      <rPr>
        <b/>
        <vertAlign val="subscript"/>
        <sz val="11"/>
        <color theme="1"/>
        <rFont val="Calibri"/>
        <family val="2"/>
        <scheme val="minor"/>
      </rPr>
      <t>VS</t>
    </r>
  </si>
  <si>
    <t>pF</t>
  </si>
  <si>
    <r>
      <t>C</t>
    </r>
    <r>
      <rPr>
        <b/>
        <vertAlign val="subscript"/>
        <sz val="11"/>
        <color theme="1"/>
        <rFont val="Calibri"/>
        <family val="2"/>
        <scheme val="minor"/>
      </rPr>
      <t>E1</t>
    </r>
    <r>
      <rPr>
        <b/>
        <sz val="11"/>
        <color theme="1"/>
        <rFont val="Calibri"/>
        <family val="2"/>
        <scheme val="minor"/>
      </rPr>
      <t xml:space="preserve"> + C</t>
    </r>
    <r>
      <rPr>
        <b/>
        <vertAlign val="subscript"/>
        <sz val="11"/>
        <color theme="1"/>
        <rFont val="Calibri"/>
        <family val="2"/>
        <scheme val="minor"/>
      </rPr>
      <t>E2</t>
    </r>
  </si>
  <si>
    <t>bit</t>
  </si>
  <si>
    <t>Weight</t>
  </si>
  <si>
    <t>VPF</t>
  </si>
  <si>
    <t>Rpf.total</t>
  </si>
  <si>
    <t>Npf</t>
  </si>
  <si>
    <t>Cemi</t>
  </si>
  <si>
    <t>Rpf1 (recommend)</t>
  </si>
  <si>
    <t>Rpf2 (recommend)</t>
  </si>
  <si>
    <t>Rpf1 (actual)</t>
  </si>
  <si>
    <t>Rpf2 (actual)</t>
  </si>
  <si>
    <r>
      <t>Initial R</t>
    </r>
    <r>
      <rPr>
        <b/>
        <vertAlign val="subscript"/>
        <sz val="11"/>
        <color theme="1"/>
        <rFont val="Calibri"/>
        <family val="2"/>
        <scheme val="minor"/>
      </rPr>
      <t>PF1</t>
    </r>
  </si>
  <si>
    <r>
      <t>Initial R</t>
    </r>
    <r>
      <rPr>
        <b/>
        <vertAlign val="subscript"/>
        <sz val="11"/>
        <color theme="1"/>
        <rFont val="Calibri"/>
        <family val="2"/>
        <scheme val="minor"/>
      </rPr>
      <t>PF2</t>
    </r>
  </si>
  <si>
    <r>
      <t>Best R</t>
    </r>
    <r>
      <rPr>
        <b/>
        <vertAlign val="subscript"/>
        <sz val="11"/>
        <color theme="1"/>
        <rFont val="Calibri"/>
        <family val="2"/>
        <scheme val="minor"/>
      </rPr>
      <t>PF1</t>
    </r>
  </si>
  <si>
    <r>
      <t>Best R</t>
    </r>
    <r>
      <rPr>
        <b/>
        <vertAlign val="subscript"/>
        <sz val="11"/>
        <color theme="1"/>
        <rFont val="Calibri"/>
        <family val="2"/>
        <scheme val="minor"/>
      </rPr>
      <t>PF2</t>
    </r>
  </si>
  <si>
    <r>
      <t>C</t>
    </r>
    <r>
      <rPr>
        <b/>
        <vertAlign val="subscript"/>
        <sz val="11"/>
        <color theme="1"/>
        <rFont val="Calibri"/>
        <family val="2"/>
        <scheme val="minor"/>
      </rPr>
      <t>PF</t>
    </r>
    <r>
      <rPr>
        <b/>
        <sz val="11"/>
        <color theme="1"/>
        <rFont val="Calibri"/>
        <family val="2"/>
        <scheme val="minor"/>
      </rPr>
      <t xml:space="preserve"> for 10% V</t>
    </r>
    <r>
      <rPr>
        <b/>
        <vertAlign val="subscript"/>
        <sz val="11"/>
        <color theme="1"/>
        <rFont val="Calibri"/>
        <family val="2"/>
        <scheme val="minor"/>
      </rPr>
      <t>OUT</t>
    </r>
  </si>
  <si>
    <r>
      <t>C</t>
    </r>
    <r>
      <rPr>
        <b/>
        <vertAlign val="subscript"/>
        <sz val="11"/>
        <color theme="1"/>
        <rFont val="Calibri"/>
        <family val="2"/>
        <scheme val="minor"/>
      </rPr>
      <t>PF</t>
    </r>
    <r>
      <rPr>
        <b/>
        <sz val="11"/>
        <color theme="1"/>
        <rFont val="Calibri"/>
        <family val="2"/>
        <scheme val="minor"/>
      </rPr>
      <t xml:space="preserve"> for 15% V</t>
    </r>
    <r>
      <rPr>
        <b/>
        <vertAlign val="subscript"/>
        <sz val="11"/>
        <color theme="1"/>
        <rFont val="Calibri"/>
        <family val="2"/>
        <scheme val="minor"/>
      </rPr>
      <t>OUT</t>
    </r>
  </si>
  <si>
    <t>Ipf.initial</t>
  </si>
  <si>
    <t>Vpf.initial</t>
  </si>
  <si>
    <t>Cpf</t>
  </si>
  <si>
    <t>uF</t>
  </si>
  <si>
    <t>Rout1</t>
  </si>
  <si>
    <t>Min. line freq.</t>
  </si>
  <si>
    <t>Vout1.ripple.set0</t>
  </si>
  <si>
    <t>Cout1.set0</t>
  </si>
  <si>
    <r>
      <t>C</t>
    </r>
    <r>
      <rPr>
        <b/>
        <vertAlign val="subscript"/>
        <sz val="11"/>
        <color theme="1"/>
        <rFont val="Calibri"/>
        <family val="2"/>
        <scheme val="minor"/>
      </rPr>
      <t>OUT1</t>
    </r>
    <r>
      <rPr>
        <b/>
        <sz val="11"/>
        <color theme="1"/>
        <rFont val="Calibri"/>
        <family val="2"/>
        <scheme val="minor"/>
      </rPr>
      <t xml:space="preserve"> for 15% V</t>
    </r>
    <r>
      <rPr>
        <b/>
        <vertAlign val="subscript"/>
        <sz val="11"/>
        <color theme="1"/>
        <rFont val="Calibri"/>
        <family val="2"/>
        <scheme val="minor"/>
      </rPr>
      <t>OUT</t>
    </r>
  </si>
  <si>
    <t>Vout1.ripple.set1</t>
  </si>
  <si>
    <t>Cout1.set1</t>
  </si>
  <si>
    <t>Power device rating</t>
  </si>
  <si>
    <r>
      <t>Q</t>
    </r>
    <r>
      <rPr>
        <b/>
        <vertAlign val="subscript"/>
        <sz val="11"/>
        <color theme="1"/>
        <rFont val="Calibri"/>
        <family val="2"/>
        <scheme val="minor"/>
      </rPr>
      <t>SW</t>
    </r>
    <r>
      <rPr>
        <b/>
        <sz val="11"/>
        <color theme="1"/>
        <rFont val="Calibri"/>
        <family val="2"/>
        <scheme val="minor"/>
      </rPr>
      <t xml:space="preserve"> V</t>
    </r>
    <r>
      <rPr>
        <b/>
        <vertAlign val="subscript"/>
        <sz val="11"/>
        <color theme="1"/>
        <rFont val="Calibri"/>
        <family val="2"/>
        <scheme val="minor"/>
      </rPr>
      <t>MAX</t>
    </r>
  </si>
  <si>
    <r>
      <t>Q</t>
    </r>
    <r>
      <rPr>
        <b/>
        <vertAlign val="subscript"/>
        <sz val="11"/>
        <color theme="1"/>
        <rFont val="Calibri"/>
        <family val="2"/>
        <scheme val="minor"/>
      </rPr>
      <t>SW</t>
    </r>
    <r>
      <rPr>
        <b/>
        <sz val="11"/>
        <color theme="1"/>
        <rFont val="Calibri"/>
        <family val="2"/>
        <scheme val="minor"/>
      </rPr>
      <t xml:space="preserve"> I</t>
    </r>
    <r>
      <rPr>
        <b/>
        <vertAlign val="subscript"/>
        <sz val="11"/>
        <color theme="1"/>
        <rFont val="Calibri"/>
        <family val="2"/>
        <scheme val="minor"/>
      </rPr>
      <t>PK</t>
    </r>
  </si>
  <si>
    <r>
      <t>Q</t>
    </r>
    <r>
      <rPr>
        <b/>
        <vertAlign val="subscript"/>
        <sz val="11"/>
        <color theme="1"/>
        <rFont val="Calibri"/>
        <family val="2"/>
        <scheme val="minor"/>
      </rPr>
      <t>SW</t>
    </r>
    <r>
      <rPr>
        <b/>
        <sz val="11"/>
        <color theme="1"/>
        <rFont val="Calibri"/>
        <family val="2"/>
        <scheme val="minor"/>
      </rPr>
      <t xml:space="preserve"> I</t>
    </r>
    <r>
      <rPr>
        <b/>
        <vertAlign val="subscript"/>
        <sz val="11"/>
        <color theme="1"/>
        <rFont val="Calibri"/>
        <family val="2"/>
        <scheme val="minor"/>
      </rPr>
      <t>RMS</t>
    </r>
  </si>
  <si>
    <t>Isw.rms</t>
  </si>
  <si>
    <r>
      <t>D</t>
    </r>
    <r>
      <rPr>
        <b/>
        <vertAlign val="subscript"/>
        <sz val="11"/>
        <color theme="1"/>
        <rFont val="Calibri"/>
        <family val="2"/>
        <scheme val="minor"/>
      </rPr>
      <t>OUT1</t>
    </r>
    <r>
      <rPr>
        <b/>
        <sz val="11"/>
        <color theme="1"/>
        <rFont val="Calibri"/>
        <family val="2"/>
        <scheme val="minor"/>
      </rPr>
      <t xml:space="preserve"> V</t>
    </r>
    <r>
      <rPr>
        <b/>
        <vertAlign val="subscript"/>
        <sz val="11"/>
        <color theme="1"/>
        <rFont val="Calibri"/>
        <family val="2"/>
        <scheme val="minor"/>
      </rPr>
      <t>MAX</t>
    </r>
  </si>
  <si>
    <r>
      <t>D</t>
    </r>
    <r>
      <rPr>
        <b/>
        <vertAlign val="subscript"/>
        <sz val="11"/>
        <color theme="1"/>
        <rFont val="Calibri"/>
        <family val="2"/>
        <scheme val="minor"/>
      </rPr>
      <t>OUT1</t>
    </r>
    <r>
      <rPr>
        <b/>
        <sz val="11"/>
        <color theme="1"/>
        <rFont val="Calibri"/>
        <family val="2"/>
        <scheme val="minor"/>
      </rPr>
      <t xml:space="preserve"> I</t>
    </r>
    <r>
      <rPr>
        <b/>
        <vertAlign val="subscript"/>
        <sz val="11"/>
        <color theme="1"/>
        <rFont val="Calibri"/>
        <family val="2"/>
        <scheme val="minor"/>
      </rPr>
      <t>PK</t>
    </r>
  </si>
  <si>
    <r>
      <t>D</t>
    </r>
    <r>
      <rPr>
        <b/>
        <vertAlign val="subscript"/>
        <sz val="11"/>
        <color theme="1"/>
        <rFont val="Calibri"/>
        <family val="2"/>
        <scheme val="minor"/>
      </rPr>
      <t>OUT2</t>
    </r>
    <r>
      <rPr>
        <b/>
        <sz val="11"/>
        <color theme="1"/>
        <rFont val="Calibri"/>
        <family val="2"/>
        <scheme val="minor"/>
      </rPr>
      <t xml:space="preserve"> V</t>
    </r>
    <r>
      <rPr>
        <b/>
        <vertAlign val="subscript"/>
        <sz val="11"/>
        <color theme="1"/>
        <rFont val="Calibri"/>
        <family val="2"/>
        <scheme val="minor"/>
      </rPr>
      <t>MAX</t>
    </r>
  </si>
  <si>
    <t>VDD circuit</t>
  </si>
  <si>
    <r>
      <t>C</t>
    </r>
    <r>
      <rPr>
        <b/>
        <vertAlign val="subscript"/>
        <sz val="11"/>
        <color theme="1"/>
        <rFont val="Calibri"/>
        <family val="2"/>
        <scheme val="minor"/>
      </rPr>
      <t>VDD1</t>
    </r>
  </si>
  <si>
    <r>
      <t>C</t>
    </r>
    <r>
      <rPr>
        <b/>
        <vertAlign val="subscript"/>
        <sz val="11"/>
        <color theme="1"/>
        <rFont val="Calibri"/>
        <family val="2"/>
        <scheme val="minor"/>
      </rPr>
      <t>VDD2</t>
    </r>
  </si>
  <si>
    <t>2.2u</t>
  </si>
  <si>
    <r>
      <t>R</t>
    </r>
    <r>
      <rPr>
        <b/>
        <vertAlign val="subscript"/>
        <sz val="11"/>
        <color theme="1"/>
        <rFont val="Calibri"/>
        <family val="2"/>
        <scheme val="minor"/>
      </rPr>
      <t>VDD</t>
    </r>
  </si>
  <si>
    <r>
      <t>ZD</t>
    </r>
    <r>
      <rPr>
        <b/>
        <vertAlign val="subscript"/>
        <sz val="11"/>
        <color theme="1"/>
        <rFont val="Calibri"/>
        <family val="2"/>
        <scheme val="minor"/>
      </rPr>
      <t>VDD</t>
    </r>
  </si>
  <si>
    <t>Vout3 (VDD)</t>
  </si>
  <si>
    <r>
      <t>C</t>
    </r>
    <r>
      <rPr>
        <b/>
        <vertAlign val="subscript"/>
        <sz val="11"/>
        <color theme="1"/>
        <rFont val="Calibri"/>
        <family val="2"/>
        <scheme val="minor"/>
      </rPr>
      <t>OUT1</t>
    </r>
    <r>
      <rPr>
        <b/>
        <sz val="11"/>
        <color theme="1"/>
        <rFont val="Calibri"/>
        <family val="2"/>
        <scheme val="minor"/>
      </rPr>
      <t xml:space="preserve"> (10% V</t>
    </r>
    <r>
      <rPr>
        <b/>
        <vertAlign val="subscript"/>
        <sz val="11"/>
        <color theme="1"/>
        <rFont val="Calibri"/>
        <family val="2"/>
        <scheme val="minor"/>
      </rPr>
      <t>OUT</t>
    </r>
    <r>
      <rPr>
        <b/>
        <sz val="11"/>
        <color theme="1"/>
        <rFont val="Calibri"/>
        <family val="2"/>
        <scheme val="minor"/>
      </rPr>
      <t>)</t>
    </r>
  </si>
  <si>
    <r>
      <t>C</t>
    </r>
    <r>
      <rPr>
        <b/>
        <vertAlign val="subscript"/>
        <sz val="11"/>
        <color theme="1"/>
        <rFont val="Calibri"/>
        <family val="2"/>
        <scheme val="minor"/>
      </rPr>
      <t>VDD3</t>
    </r>
    <r>
      <rPr>
        <b/>
        <sz val="11"/>
        <color theme="1"/>
        <rFont val="Calibri"/>
        <family val="2"/>
        <scheme val="minor"/>
      </rPr>
      <t xml:space="preserve"> (MLCC)</t>
    </r>
  </si>
  <si>
    <r>
      <t>n</t>
    </r>
    <r>
      <rPr>
        <b/>
        <vertAlign val="subscript"/>
        <sz val="11"/>
        <color theme="1"/>
        <rFont val="Calibri"/>
        <family val="2"/>
        <scheme val="minor"/>
      </rPr>
      <t>PS</t>
    </r>
    <r>
      <rPr>
        <b/>
        <sz val="11"/>
        <color theme="1"/>
        <rFont val="Calibri"/>
        <family val="2"/>
        <scheme val="minor"/>
      </rPr>
      <t xml:space="preserve"> x V</t>
    </r>
    <r>
      <rPr>
        <b/>
        <vertAlign val="subscript"/>
        <sz val="11"/>
        <color theme="1"/>
        <rFont val="Calibri"/>
        <family val="2"/>
        <scheme val="minor"/>
      </rPr>
      <t>OUT</t>
    </r>
  </si>
</sst>
</file>

<file path=xl/styles.xml><?xml version="1.0" encoding="utf-8"?>
<styleSheet xmlns="http://schemas.openxmlformats.org/spreadsheetml/2006/main">
  <numFmts count="2">
    <numFmt numFmtId="164" formatCode="0.0"/>
    <numFmt numFmtId="165" formatCode="0.000"/>
  </numFmts>
  <fonts count="12">
    <font>
      <sz val="11"/>
      <color theme="1"/>
      <name val="Calibri"/>
      <family val="2"/>
      <charset val="129"/>
      <scheme val="minor"/>
    </font>
    <font>
      <b/>
      <sz val="11"/>
      <color theme="1"/>
      <name val="Calibri"/>
      <family val="2"/>
      <scheme val="minor"/>
    </font>
    <font>
      <b/>
      <sz val="11"/>
      <color theme="0"/>
      <name val="Calibri"/>
      <family val="2"/>
      <scheme val="minor"/>
    </font>
    <font>
      <b/>
      <vertAlign val="subscript"/>
      <sz val="11"/>
      <color theme="1"/>
      <name val="Calibri"/>
      <family val="2"/>
      <scheme val="minor"/>
    </font>
    <font>
      <sz val="9"/>
      <color indexed="81"/>
      <name val="Tahoma"/>
      <family val="2"/>
    </font>
    <font>
      <b/>
      <sz val="9"/>
      <color indexed="81"/>
      <name val="Tahoma"/>
      <family val="2"/>
    </font>
    <font>
      <b/>
      <vertAlign val="superscript"/>
      <sz val="11"/>
      <color theme="1"/>
      <name val="Calibri"/>
      <family val="2"/>
      <scheme val="minor"/>
    </font>
    <font>
      <b/>
      <sz val="9"/>
      <color indexed="81"/>
      <name val="Tahoma"/>
      <charset val="1"/>
    </font>
    <font>
      <sz val="11"/>
      <color theme="0"/>
      <name val="Calibri"/>
      <family val="2"/>
      <scheme val="minor"/>
    </font>
    <font>
      <b/>
      <sz val="11"/>
      <color theme="0"/>
      <name val="Calibri"/>
      <family val="2"/>
      <charset val="129"/>
      <scheme val="minor"/>
    </font>
    <font>
      <sz val="11"/>
      <color rgb="FFFF0000"/>
      <name val="Calibri"/>
      <family val="2"/>
      <charset val="129"/>
      <scheme val="minor"/>
    </font>
    <font>
      <sz val="11"/>
      <color theme="0"/>
      <name val="Calibri"/>
      <family val="2"/>
      <charset val="129"/>
      <scheme val="minor"/>
    </font>
  </fonts>
  <fills count="7">
    <fill>
      <patternFill patternType="none"/>
    </fill>
    <fill>
      <patternFill patternType="gray125"/>
    </fill>
    <fill>
      <patternFill patternType="solid">
        <fgColor theme="4"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Protection="1">
      <protection hidden="1"/>
    </xf>
    <xf numFmtId="0" fontId="1" fillId="3" borderId="1" xfId="0" applyFont="1" applyFill="1" applyBorder="1" applyAlignment="1" applyProtection="1">
      <alignment horizontal="center"/>
      <protection hidden="1"/>
    </xf>
    <xf numFmtId="1" fontId="1" fillId="6" borderId="1" xfId="0" applyNumberFormat="1"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1" fontId="1" fillId="6" borderId="6" xfId="0" applyNumberFormat="1"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1" fontId="1" fillId="6" borderId="9" xfId="0" applyNumberFormat="1" applyFont="1" applyFill="1" applyBorder="1" applyAlignment="1" applyProtection="1">
      <alignment horizontal="center"/>
      <protection hidden="1"/>
    </xf>
    <xf numFmtId="0" fontId="1" fillId="4" borderId="10" xfId="0" applyFont="1" applyFill="1" applyBorder="1" applyAlignment="1" applyProtection="1">
      <alignment horizontal="center"/>
      <protection hidden="1"/>
    </xf>
    <xf numFmtId="165" fontId="1" fillId="6" borderId="1" xfId="0" applyNumberFormat="1" applyFont="1" applyFill="1" applyBorder="1" applyAlignment="1" applyProtection="1">
      <alignment horizontal="center"/>
      <protection hidden="1"/>
    </xf>
    <xf numFmtId="0" fontId="1" fillId="4" borderId="12" xfId="0" applyFont="1" applyFill="1" applyBorder="1" applyAlignment="1" applyProtection="1">
      <alignment horizontal="center"/>
      <protection hidden="1"/>
    </xf>
    <xf numFmtId="1" fontId="1" fillId="6" borderId="15" xfId="0" applyNumberFormat="1" applyFont="1" applyFill="1" applyBorder="1" applyAlignment="1" applyProtection="1">
      <alignment horizontal="center"/>
      <protection hidden="1"/>
    </xf>
    <xf numFmtId="0" fontId="1" fillId="4" borderId="16" xfId="0" applyFont="1" applyFill="1" applyBorder="1" applyAlignment="1" applyProtection="1">
      <alignment horizontal="center"/>
      <protection hidden="1"/>
    </xf>
    <xf numFmtId="164" fontId="1" fillId="6" borderId="1" xfId="0" applyNumberFormat="1" applyFont="1" applyFill="1" applyBorder="1" applyAlignment="1" applyProtection="1">
      <alignment horizontal="center"/>
      <protection hidden="1"/>
    </xf>
    <xf numFmtId="2" fontId="1" fillId="6" borderId="1" xfId="0" applyNumberFormat="1" applyFont="1" applyFill="1" applyBorder="1" applyAlignment="1" applyProtection="1">
      <alignment horizontal="center"/>
      <protection hidden="1"/>
    </xf>
    <xf numFmtId="0" fontId="0" fillId="0" borderId="0" xfId="0" applyBorder="1" applyProtection="1">
      <protection hidden="1"/>
    </xf>
    <xf numFmtId="0" fontId="1" fillId="5" borderId="1" xfId="0" applyFont="1" applyFill="1" applyBorder="1" applyAlignment="1" applyProtection="1">
      <alignment horizontal="center"/>
      <protection locked="0" hidden="1"/>
    </xf>
    <xf numFmtId="11" fontId="8" fillId="0" borderId="0" xfId="0" applyNumberFormat="1" applyFont="1" applyBorder="1" applyAlignment="1" applyProtection="1">
      <alignment horizontal="center"/>
      <protection hidden="1"/>
    </xf>
    <xf numFmtId="0" fontId="8" fillId="0" borderId="0" xfId="0" applyFont="1" applyProtection="1">
      <protection hidden="1"/>
    </xf>
    <xf numFmtId="0" fontId="8" fillId="0" borderId="0" xfId="0" applyFont="1" applyAlignment="1" applyProtection="1">
      <alignment horizontal="center"/>
      <protection hidden="1"/>
    </xf>
    <xf numFmtId="11" fontId="8" fillId="0" borderId="0" xfId="0" applyNumberFormat="1" applyFont="1" applyAlignment="1" applyProtection="1">
      <alignment horizontal="center"/>
      <protection hidden="1"/>
    </xf>
    <xf numFmtId="0" fontId="1" fillId="3" borderId="1" xfId="0" applyFont="1" applyFill="1" applyBorder="1" applyAlignment="1" applyProtection="1">
      <alignment horizontal="center"/>
      <protection hidden="1"/>
    </xf>
    <xf numFmtId="0" fontId="10" fillId="0" borderId="0" xfId="0" applyFont="1" applyProtection="1">
      <protection hidden="1"/>
    </xf>
    <xf numFmtId="11" fontId="11" fillId="0" borderId="0" xfId="0" applyNumberFormat="1"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Fill="1" applyBorder="1" applyAlignment="1" applyProtection="1">
      <alignment horizontal="center"/>
      <protection hidden="1"/>
    </xf>
    <xf numFmtId="0" fontId="11" fillId="0" borderId="0" xfId="0" applyFont="1" applyProtection="1">
      <protection hidden="1"/>
    </xf>
    <xf numFmtId="0" fontId="1" fillId="4" borderId="2" xfId="0" applyFont="1" applyFill="1" applyBorder="1" applyAlignment="1" applyProtection="1">
      <alignment horizontal="center"/>
      <protection hidden="1"/>
    </xf>
    <xf numFmtId="0" fontId="1" fillId="4" borderId="3" xfId="0" applyFont="1" applyFill="1" applyBorder="1" applyAlignment="1" applyProtection="1">
      <alignment horizontal="center"/>
      <protection hidden="1"/>
    </xf>
    <xf numFmtId="0" fontId="1" fillId="3" borderId="1" xfId="0" applyFont="1" applyFill="1" applyBorder="1" applyAlignment="1" applyProtection="1">
      <alignment horizontal="center"/>
      <protection hidden="1"/>
    </xf>
    <xf numFmtId="0" fontId="11"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2" fillId="2" borderId="1" xfId="0"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1" fillId="4" borderId="11" xfId="0" applyFont="1" applyFill="1" applyBorder="1" applyAlignment="1" applyProtection="1">
      <alignment horizontal="center"/>
      <protection hidden="1"/>
    </xf>
    <xf numFmtId="0" fontId="1" fillId="4" borderId="13" xfId="0"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4" borderId="7" xfId="0"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B2:T44"/>
  <sheetViews>
    <sheetView tabSelected="1" zoomScaleNormal="100" workbookViewId="0">
      <selection activeCell="I26" sqref="I26"/>
    </sheetView>
  </sheetViews>
  <sheetFormatPr defaultRowHeight="14.4"/>
  <cols>
    <col min="1" max="3" width="8.88671875" style="1"/>
    <col min="4" max="4" width="9" style="1" bestFit="1" customWidth="1"/>
    <col min="5" max="7" width="8.88671875" style="1"/>
    <col min="8" max="8" width="9" style="1" bestFit="1" customWidth="1"/>
    <col min="9" max="9" width="8.88671875" style="1" customWidth="1"/>
    <col min="10" max="11" width="8.88671875" style="1"/>
    <col min="12" max="12" width="8.88671875" style="1" customWidth="1"/>
    <col min="13" max="18" width="8.88671875" style="1"/>
    <col min="19" max="19" width="8.88671875" style="1" customWidth="1"/>
    <col min="20" max="16384" width="8.88671875" style="1"/>
  </cols>
  <sheetData>
    <row r="2" spans="2:20">
      <c r="B2" s="22"/>
      <c r="C2" s="22"/>
      <c r="D2" s="22"/>
      <c r="E2" s="22"/>
      <c r="F2" s="22"/>
      <c r="G2" s="22"/>
      <c r="H2" s="22"/>
      <c r="I2" s="22"/>
      <c r="J2" s="22"/>
      <c r="K2" s="22"/>
      <c r="L2" s="22"/>
      <c r="M2" s="22"/>
      <c r="N2" s="22"/>
    </row>
    <row r="3" spans="2:20">
      <c r="B3" s="32" t="s">
        <v>0</v>
      </c>
      <c r="C3" s="32"/>
      <c r="D3" s="32"/>
      <c r="E3" s="32"/>
      <c r="F3" s="31" t="s">
        <v>48</v>
      </c>
      <c r="G3" s="31"/>
      <c r="H3" s="23">
        <f>0.5*Vin_pk_min*Ton_max_dcm^2/Lm/(Ton_max_dcm+Vin_pk_min/(nps_1*Vout1)*Ton_max_dcm)</f>
        <v>0.6447958168269059</v>
      </c>
      <c r="I3" s="24" t="s">
        <v>10</v>
      </c>
      <c r="J3" s="32" t="s">
        <v>72</v>
      </c>
      <c r="K3" s="32"/>
      <c r="L3" s="32"/>
      <c r="M3" s="32"/>
      <c r="N3" s="22"/>
      <c r="O3" s="18"/>
      <c r="P3" s="18"/>
      <c r="Q3" s="18"/>
      <c r="R3" s="18"/>
      <c r="S3" s="18"/>
      <c r="T3" s="18"/>
    </row>
    <row r="4" spans="2:20">
      <c r="B4" s="31" t="s">
        <v>5</v>
      </c>
      <c r="C4" s="31"/>
      <c r="D4" s="23">
        <f>Vin_min*2^0.5</f>
        <v>127.27922061357856</v>
      </c>
      <c r="E4" s="24" t="s">
        <v>2</v>
      </c>
      <c r="F4" s="31" t="s">
        <v>50</v>
      </c>
      <c r="G4" s="31"/>
      <c r="H4" s="23">
        <f>(Iin_max_dcm+Iin_max_bcm)/2</f>
        <v>0.76032397851497324</v>
      </c>
      <c r="I4" s="24" t="s">
        <v>10</v>
      </c>
      <c r="J4" s="31" t="s">
        <v>79</v>
      </c>
      <c r="K4" s="31"/>
      <c r="L4" s="23">
        <f>Vin_pk_max/npa</f>
        <v>104.11537778160545</v>
      </c>
      <c r="M4" s="25" t="s">
        <v>2</v>
      </c>
      <c r="N4" s="22"/>
      <c r="O4" s="18"/>
      <c r="P4" s="18"/>
      <c r="Q4" s="34" t="s">
        <v>105</v>
      </c>
      <c r="R4" s="34"/>
      <c r="S4" s="17">
        <f>Ipf_initial*5*10^-6/(0.5-Vpf_initial)</f>
        <v>2.922077922077922E-10</v>
      </c>
      <c r="T4" s="19" t="s">
        <v>68</v>
      </c>
    </row>
    <row r="5" spans="2:20">
      <c r="B5" s="31" t="s">
        <v>6</v>
      </c>
      <c r="C5" s="31"/>
      <c r="D5" s="23">
        <f>Vin_max*2^0.5</f>
        <v>431.33513652379401</v>
      </c>
      <c r="E5" s="24" t="s">
        <v>2</v>
      </c>
      <c r="F5" s="31" t="s">
        <v>54</v>
      </c>
      <c r="G5" s="31"/>
      <c r="H5" s="23">
        <f>(1+Vin_pk_min/(nps_1*Vout1))*Iin_max_actual*Lm/(0.5*Vin_pk_min)</f>
        <v>1.0004857285949821E-5</v>
      </c>
      <c r="I5" s="24" t="s">
        <v>35</v>
      </c>
      <c r="J5" s="31" t="s">
        <v>80</v>
      </c>
      <c r="K5" s="31"/>
      <c r="L5" s="23">
        <f>0.8*10^-3</f>
        <v>8.0000000000000004E-4</v>
      </c>
      <c r="M5" s="25" t="s">
        <v>10</v>
      </c>
      <c r="N5" s="22"/>
      <c r="O5" s="18"/>
      <c r="P5" s="18"/>
      <c r="Q5" s="34" t="s">
        <v>109</v>
      </c>
      <c r="R5" s="34"/>
      <c r="S5" s="17">
        <f>Vout1*0.03</f>
        <v>1.5</v>
      </c>
      <c r="T5" s="19" t="s">
        <v>2</v>
      </c>
    </row>
    <row r="6" spans="2:20">
      <c r="B6" s="31" t="s">
        <v>107</v>
      </c>
      <c r="C6" s="31"/>
      <c r="D6" s="23">
        <f>Vout1/Iout1</f>
        <v>50</v>
      </c>
      <c r="E6" s="24" t="s">
        <v>64</v>
      </c>
      <c r="F6" s="31" t="s">
        <v>51</v>
      </c>
      <c r="G6" s="31"/>
      <c r="H6" s="23">
        <f>IF(Iin_max_dcm&gt;Iin_max_bcm,Ton_max_bcm,Ton_max_dcm)</f>
        <v>1.0004857285949821E-5</v>
      </c>
      <c r="I6" s="24" t="s">
        <v>35</v>
      </c>
      <c r="J6" s="31" t="s">
        <v>82</v>
      </c>
      <c r="K6" s="31"/>
      <c r="L6" s="23">
        <v>3.5</v>
      </c>
      <c r="M6" s="25" t="s">
        <v>2</v>
      </c>
      <c r="N6" s="22"/>
      <c r="O6" s="18"/>
      <c r="P6" s="18"/>
      <c r="Q6" s="34" t="s">
        <v>110</v>
      </c>
      <c r="R6" s="34"/>
      <c r="S6" s="17">
        <f>1/(4*PI()*fline)*( (Iout1/Vout1_ripple_set0)^2 - (1/Rout1)^2 )^0.5</f>
        <v>1.1163740859355116E-3</v>
      </c>
      <c r="T6" s="19" t="s">
        <v>68</v>
      </c>
    </row>
    <row r="7" spans="2:20">
      <c r="B7" s="31" t="s">
        <v>16</v>
      </c>
      <c r="C7" s="31"/>
      <c r="D7" s="23">
        <f>D29*2.5</f>
        <v>8.25</v>
      </c>
      <c r="E7" s="24" t="s">
        <v>2</v>
      </c>
      <c r="F7" s="31" t="s">
        <v>55</v>
      </c>
      <c r="G7" s="31"/>
      <c r="H7" s="23">
        <f>Ton_max_actual+Vin_pk_min/(nps_1*Vout1)*Ton_max_actual</f>
        <v>2.4641758868774833E-5</v>
      </c>
      <c r="I7" s="26" t="s">
        <v>35</v>
      </c>
      <c r="J7" s="31" t="s">
        <v>81</v>
      </c>
      <c r="K7" s="31"/>
      <c r="L7" s="23">
        <f>Vaux_neg_max/Ivs_max</f>
        <v>130144.2222270068</v>
      </c>
      <c r="M7" s="25" t="s">
        <v>64</v>
      </c>
      <c r="N7" s="22"/>
      <c r="O7" s="18"/>
      <c r="P7" s="18"/>
      <c r="Q7" s="34" t="s">
        <v>112</v>
      </c>
      <c r="R7" s="34"/>
      <c r="S7" s="17">
        <f>Vout1*0.07</f>
        <v>3.5000000000000004</v>
      </c>
      <c r="T7" s="19" t="s">
        <v>2</v>
      </c>
    </row>
    <row r="8" spans="2:20">
      <c r="B8" s="31" t="s">
        <v>13</v>
      </c>
      <c r="C8" s="31"/>
      <c r="D8" s="23">
        <f>D30*0.001</f>
        <v>0.02</v>
      </c>
      <c r="E8" s="24" t="s">
        <v>10</v>
      </c>
      <c r="F8" s="31" t="s">
        <v>56</v>
      </c>
      <c r="G8" s="31"/>
      <c r="H8" s="23">
        <f>1/Ts_bcm</f>
        <v>40581.518767605696</v>
      </c>
      <c r="I8" s="26" t="s">
        <v>36</v>
      </c>
      <c r="J8" s="31" t="s">
        <v>83</v>
      </c>
      <c r="K8" s="31"/>
      <c r="L8" s="23">
        <f>Rvs_1*Vref/(VDD-Vref)</f>
        <v>26028.844445401359</v>
      </c>
      <c r="M8" s="25" t="s">
        <v>64</v>
      </c>
      <c r="N8" s="22"/>
      <c r="O8" s="18"/>
      <c r="P8" s="18"/>
      <c r="Q8" s="34" t="s">
        <v>113</v>
      </c>
      <c r="R8" s="34"/>
      <c r="S8" s="17">
        <f>1/(4*PI()*fline)*( (Iout1/Vout1_ripple_set1)^2 - (1/Rout1)^2 )^0.5</f>
        <v>4.7748732223661561E-4</v>
      </c>
      <c r="T8" s="19" t="s">
        <v>68</v>
      </c>
    </row>
    <row r="9" spans="2:20">
      <c r="B9" s="31" t="s">
        <v>128</v>
      </c>
      <c r="C9" s="31"/>
      <c r="D9" s="23">
        <v>21</v>
      </c>
      <c r="E9" s="26" t="s">
        <v>2</v>
      </c>
      <c r="F9" s="31" t="s">
        <v>62</v>
      </c>
      <c r="G9" s="31"/>
      <c r="H9" s="23">
        <f>IF(fsw_bcm&lt;fsw_dcm,fsw_bcm,fsw_dcm)</f>
        <v>40581.518767605696</v>
      </c>
      <c r="I9" s="26" t="s">
        <v>36</v>
      </c>
      <c r="J9" s="31" t="s">
        <v>92</v>
      </c>
      <c r="K9" s="31"/>
      <c r="L9" s="23">
        <f>N31*10^-9</f>
        <v>8.1000000000000008E-7</v>
      </c>
      <c r="M9" s="25" t="s">
        <v>68</v>
      </c>
      <c r="N9" s="22"/>
      <c r="O9" s="18"/>
      <c r="P9" s="18"/>
      <c r="Q9" s="38" t="s">
        <v>114</v>
      </c>
      <c r="R9" s="38"/>
      <c r="S9" s="38"/>
      <c r="T9" s="38"/>
    </row>
    <row r="10" spans="2:20">
      <c r="B10" s="31" t="s">
        <v>26</v>
      </c>
      <c r="C10" s="31"/>
      <c r="D10" s="23">
        <f>D31/100</f>
        <v>0.9</v>
      </c>
      <c r="E10" s="24"/>
      <c r="F10" s="31" t="s">
        <v>47</v>
      </c>
      <c r="G10" s="31"/>
      <c r="H10" s="23">
        <f>Vin_pk_min*Ton_max_actual/Lm</f>
        <v>3.7453248167816948</v>
      </c>
      <c r="I10" s="24" t="s">
        <v>10</v>
      </c>
      <c r="J10" s="31" t="s">
        <v>91</v>
      </c>
      <c r="K10" s="31"/>
      <c r="L10" s="23">
        <f>Lm*Cemi/(10*25*10^-9*25*10^-9)/256</f>
        <v>172.12499999999994</v>
      </c>
      <c r="M10" s="25" t="s">
        <v>87</v>
      </c>
      <c r="N10" s="22"/>
      <c r="O10" s="18"/>
      <c r="P10" s="18"/>
      <c r="Q10" s="34" t="s">
        <v>118</v>
      </c>
      <c r="R10" s="34"/>
      <c r="S10" s="20">
        <f>2*Vin_pk_min/(PI()*Lm)*(Ton_max_actual^3/(3*2/(fsw_actual+fsw_dcm)))^0.5</f>
        <v>1.0004453903966761</v>
      </c>
      <c r="T10" s="19" t="s">
        <v>10</v>
      </c>
    </row>
    <row r="11" spans="2:20">
      <c r="B11" s="32" t="s">
        <v>18</v>
      </c>
      <c r="C11" s="32"/>
      <c r="D11" s="32"/>
      <c r="E11" s="32"/>
      <c r="F11" s="31" t="s">
        <v>58</v>
      </c>
      <c r="G11" s="31"/>
      <c r="H11" s="23">
        <f>I31</f>
        <v>87</v>
      </c>
      <c r="I11" s="24" t="s">
        <v>2</v>
      </c>
      <c r="J11" s="31" t="s">
        <v>88</v>
      </c>
      <c r="K11" s="31"/>
      <c r="L11" s="23">
        <v>0.8</v>
      </c>
      <c r="M11" s="25"/>
      <c r="N11" s="22"/>
      <c r="O11" s="18"/>
      <c r="P11" s="18"/>
      <c r="Q11" s="18"/>
      <c r="R11" s="18"/>
      <c r="S11" s="18"/>
      <c r="T11" s="18"/>
    </row>
    <row r="12" spans="2:20">
      <c r="B12" s="31" t="s">
        <v>24</v>
      </c>
      <c r="C12" s="31"/>
      <c r="D12" s="23">
        <f>15000/Pout</f>
        <v>299.01325625436061</v>
      </c>
      <c r="E12" s="24" t="s">
        <v>20</v>
      </c>
      <c r="F12" s="31" t="s">
        <v>42</v>
      </c>
      <c r="G12" s="31"/>
      <c r="H12" s="23">
        <f>Vreflect/Vout1</f>
        <v>1.74</v>
      </c>
      <c r="I12" s="24"/>
      <c r="J12" s="31" t="s">
        <v>89</v>
      </c>
      <c r="K12" s="31"/>
      <c r="L12" s="23">
        <f>Npf*weight/100+1.5</f>
        <v>2.8769999999999998</v>
      </c>
      <c r="M12" s="25" t="s">
        <v>2</v>
      </c>
      <c r="N12" s="22"/>
      <c r="O12" s="18"/>
      <c r="P12" s="18"/>
      <c r="Q12" s="18"/>
      <c r="R12" s="18"/>
      <c r="S12" s="18"/>
      <c r="T12" s="18"/>
    </row>
    <row r="13" spans="2:20">
      <c r="B13" s="31" t="s">
        <v>25</v>
      </c>
      <c r="C13" s="31"/>
      <c r="D13" s="23">
        <f>I26*10^-6</f>
        <v>3.3999999999999997E-4</v>
      </c>
      <c r="E13" s="24" t="s">
        <v>21</v>
      </c>
      <c r="F13" s="31" t="s">
        <v>43</v>
      </c>
      <c r="G13" s="31"/>
      <c r="H13" s="23">
        <f>Vreflect/Vout2</f>
        <v>10.545454545454545</v>
      </c>
      <c r="I13" s="27"/>
      <c r="J13" s="31" t="s">
        <v>90</v>
      </c>
      <c r="K13" s="31"/>
      <c r="L13" s="23">
        <v>500000</v>
      </c>
      <c r="M13" s="25" t="s">
        <v>64</v>
      </c>
      <c r="N13" s="22"/>
      <c r="O13" s="18"/>
      <c r="P13" s="18"/>
      <c r="Q13" s="18"/>
      <c r="R13" s="18"/>
      <c r="S13" s="18"/>
      <c r="T13" s="18"/>
    </row>
    <row r="14" spans="2:20">
      <c r="B14" s="31" t="s">
        <v>28</v>
      </c>
      <c r="C14" s="31"/>
      <c r="D14" s="23">
        <f>I27*10^-6</f>
        <v>1.6899999999999999E-4</v>
      </c>
      <c r="E14" s="24" t="s">
        <v>37</v>
      </c>
      <c r="F14" s="27"/>
      <c r="G14" s="27"/>
      <c r="H14" s="27"/>
      <c r="I14" s="27"/>
      <c r="J14" s="31" t="s">
        <v>93</v>
      </c>
      <c r="K14" s="31"/>
      <c r="L14" s="23">
        <f>Rpf_total-Rpf_2_rec</f>
        <v>212300.00000000006</v>
      </c>
      <c r="M14" s="25" t="s">
        <v>64</v>
      </c>
      <c r="N14" s="22"/>
      <c r="O14" s="18"/>
      <c r="P14" s="18"/>
      <c r="Q14" s="18"/>
      <c r="R14" s="18"/>
      <c r="S14" s="18"/>
      <c r="T14" s="18"/>
    </row>
    <row r="15" spans="2:20">
      <c r="B15" s="32" t="s">
        <v>59</v>
      </c>
      <c r="C15" s="32"/>
      <c r="D15" s="32"/>
      <c r="E15" s="32"/>
      <c r="F15" s="31" t="s">
        <v>44</v>
      </c>
      <c r="G15" s="31"/>
      <c r="H15" s="23">
        <f>Vreflect/VDD</f>
        <v>4.1428571428571432</v>
      </c>
      <c r="I15" s="27"/>
      <c r="J15" s="31" t="s">
        <v>94</v>
      </c>
      <c r="K15" s="31"/>
      <c r="L15" s="23">
        <f>Vpf/5*Rpf_total</f>
        <v>287699.99999999994</v>
      </c>
      <c r="M15" s="25" t="s">
        <v>64</v>
      </c>
      <c r="N15" s="22"/>
      <c r="O15" s="18"/>
      <c r="P15" s="18"/>
      <c r="Q15" s="18"/>
      <c r="R15" s="18"/>
      <c r="S15" s="18"/>
      <c r="T15" s="18"/>
    </row>
    <row r="16" spans="2:20">
      <c r="B16" s="31" t="s">
        <v>57</v>
      </c>
      <c r="C16" s="31"/>
      <c r="D16" s="23">
        <v>65000</v>
      </c>
      <c r="E16" s="24" t="s">
        <v>36</v>
      </c>
      <c r="F16" s="32" t="s">
        <v>45</v>
      </c>
      <c r="G16" s="32"/>
      <c r="H16" s="32"/>
      <c r="I16" s="32"/>
      <c r="J16" s="31" t="s">
        <v>95</v>
      </c>
      <c r="K16" s="31"/>
      <c r="L16" s="23">
        <f>N34*1000</f>
        <v>220000</v>
      </c>
      <c r="M16" s="25" t="s">
        <v>64</v>
      </c>
      <c r="N16" s="22"/>
      <c r="O16" s="18"/>
      <c r="P16" s="18"/>
      <c r="Q16" s="18"/>
      <c r="R16" s="18"/>
      <c r="S16" s="18"/>
      <c r="T16" s="18"/>
    </row>
    <row r="17" spans="2:20">
      <c r="B17" s="31" t="s">
        <v>52</v>
      </c>
      <c r="C17" s="31"/>
      <c r="D17" s="23">
        <f>(Pin*Lm/(0.5*0.5*Vin_pk_min^2*fsw_dcm))^0.5</f>
        <v>8.4846595770010864E-6</v>
      </c>
      <c r="E17" s="24" t="s">
        <v>35</v>
      </c>
      <c r="F17" s="31" t="s">
        <v>65</v>
      </c>
      <c r="G17" s="31"/>
      <c r="H17" s="23">
        <f>I37*10^-6</f>
        <v>1.5999999999999999E-6</v>
      </c>
      <c r="I17" s="25" t="s">
        <v>21</v>
      </c>
      <c r="J17" s="31" t="s">
        <v>96</v>
      </c>
      <c r="K17" s="31"/>
      <c r="L17" s="23">
        <f>N35*1000</f>
        <v>280000</v>
      </c>
      <c r="M17" s="25" t="s">
        <v>64</v>
      </c>
      <c r="N17" s="22"/>
      <c r="O17" s="18"/>
      <c r="P17" s="18"/>
      <c r="Q17" s="18"/>
      <c r="R17" s="18"/>
      <c r="S17" s="18"/>
      <c r="T17" s="18"/>
    </row>
    <row r="18" spans="2:20">
      <c r="B18" s="31" t="s">
        <v>53</v>
      </c>
      <c r="C18" s="31"/>
      <c r="D18" s="23">
        <f>Vin_pk_min*Ton_max_dcm/Lm</f>
        <v>3.1762378180359812</v>
      </c>
      <c r="E18" s="24" t="s">
        <v>10</v>
      </c>
      <c r="F18" s="31" t="s">
        <v>63</v>
      </c>
      <c r="G18" s="31"/>
      <c r="H18" s="23">
        <f>Vsn^2 / (0.5*Llk*Ipk_max_actual^2*Vsn/(Vsn-nps_1*Vout1)*fsw_actual)</f>
        <v>49626.21801302617</v>
      </c>
      <c r="I18" s="25" t="s">
        <v>64</v>
      </c>
      <c r="J18" s="31" t="s">
        <v>104</v>
      </c>
      <c r="K18" s="31"/>
      <c r="L18" s="23">
        <f>5*5000/(5000+Rpf_1_actual)</f>
        <v>0.1111111111111111</v>
      </c>
      <c r="M18" s="25" t="s">
        <v>2</v>
      </c>
      <c r="N18" s="22"/>
      <c r="O18" s="18"/>
      <c r="P18" s="18"/>
      <c r="Q18" s="18"/>
      <c r="R18" s="18"/>
      <c r="S18" s="18"/>
      <c r="T18" s="18"/>
    </row>
    <row r="19" spans="2:20">
      <c r="B19" s="31" t="s">
        <v>49</v>
      </c>
      <c r="C19" s="31"/>
      <c r="D19" s="23">
        <f>0.5*Vin_pk_min*Ton_max_dcm^2/Lm*fsw_dcm</f>
        <v>0.87585214020304059</v>
      </c>
      <c r="E19" s="24" t="s">
        <v>10</v>
      </c>
      <c r="F19" s="31" t="s">
        <v>69</v>
      </c>
      <c r="G19" s="31"/>
      <c r="H19" s="25">
        <f>Vsn/(Vsn_d*Rsn*fsw_actual)</f>
        <v>2.2068763788713213E-9</v>
      </c>
      <c r="I19" s="25" t="s">
        <v>68</v>
      </c>
      <c r="J19" s="31" t="s">
        <v>103</v>
      </c>
      <c r="K19" s="31"/>
      <c r="L19" s="23">
        <f>5/Rpf_1_actual</f>
        <v>2.2727272727272726E-5</v>
      </c>
      <c r="M19" s="25" t="s">
        <v>10</v>
      </c>
      <c r="N19" s="22"/>
      <c r="O19" s="18"/>
      <c r="P19" s="18"/>
      <c r="Q19" s="18"/>
      <c r="R19" s="18"/>
      <c r="S19" s="18"/>
      <c r="T19" s="18"/>
    </row>
    <row r="20" spans="2:20">
      <c r="B20" s="22"/>
      <c r="C20" s="22"/>
      <c r="D20" s="22"/>
      <c r="E20" s="22"/>
      <c r="F20" s="22"/>
      <c r="G20" s="22"/>
      <c r="H20" s="22"/>
      <c r="I20" s="22"/>
      <c r="J20" s="22"/>
      <c r="K20" s="22"/>
      <c r="L20" s="22"/>
      <c r="M20" s="22"/>
      <c r="N20" s="22"/>
    </row>
    <row r="21" spans="2:20">
      <c r="B21" s="22"/>
      <c r="C21" s="22"/>
      <c r="D21" s="22"/>
      <c r="E21" s="22"/>
      <c r="F21" s="22"/>
      <c r="G21" s="22"/>
      <c r="H21" s="22"/>
      <c r="I21" s="22"/>
      <c r="J21" s="22"/>
      <c r="K21" s="22"/>
      <c r="L21" s="22"/>
      <c r="M21" s="22"/>
      <c r="N21" s="22"/>
    </row>
    <row r="23" spans="2:20">
      <c r="B23" s="33" t="s">
        <v>17</v>
      </c>
      <c r="C23" s="33"/>
      <c r="D23" s="33"/>
      <c r="E23" s="33"/>
      <c r="G23" s="33" t="s">
        <v>18</v>
      </c>
      <c r="H23" s="33"/>
      <c r="I23" s="33"/>
      <c r="J23" s="33"/>
      <c r="L23" s="33" t="s">
        <v>72</v>
      </c>
      <c r="M23" s="33"/>
      <c r="N23" s="33"/>
      <c r="O23" s="33"/>
      <c r="Q23" s="33" t="s">
        <v>122</v>
      </c>
      <c r="R23" s="33"/>
      <c r="S23" s="33"/>
      <c r="T23" s="33"/>
    </row>
    <row r="24" spans="2:20" ht="15.6">
      <c r="B24" s="30" t="s">
        <v>1</v>
      </c>
      <c r="C24" s="30"/>
      <c r="D24" s="16">
        <v>90</v>
      </c>
      <c r="E24" s="2" t="s">
        <v>3</v>
      </c>
      <c r="G24" s="28" t="s">
        <v>22</v>
      </c>
      <c r="H24" s="29"/>
      <c r="I24" s="3">
        <f>Lm_rec*0.83</f>
        <v>248.18100269111929</v>
      </c>
      <c r="J24" s="4" t="s">
        <v>20</v>
      </c>
      <c r="L24" s="28" t="s">
        <v>73</v>
      </c>
      <c r="M24" s="29"/>
      <c r="N24" s="3">
        <v>50</v>
      </c>
      <c r="O24" s="4" t="s">
        <v>67</v>
      </c>
      <c r="Q24" s="28" t="s">
        <v>123</v>
      </c>
      <c r="R24" s="29"/>
      <c r="S24" s="3">
        <v>22</v>
      </c>
      <c r="T24" s="4" t="s">
        <v>106</v>
      </c>
    </row>
    <row r="25" spans="2:20" ht="16.2" thickBot="1">
      <c r="B25" s="30" t="s">
        <v>4</v>
      </c>
      <c r="C25" s="30"/>
      <c r="D25" s="16">
        <v>305</v>
      </c>
      <c r="E25" s="2" t="s">
        <v>3</v>
      </c>
      <c r="G25" s="28" t="s">
        <v>23</v>
      </c>
      <c r="H25" s="29"/>
      <c r="I25" s="3">
        <f>Lm_rec*1.17</f>
        <v>349.84550981760191</v>
      </c>
      <c r="J25" s="4" t="s">
        <v>20</v>
      </c>
      <c r="L25" s="28" t="s">
        <v>74</v>
      </c>
      <c r="M25" s="29"/>
      <c r="N25" s="3">
        <v>680</v>
      </c>
      <c r="O25" s="4" t="s">
        <v>71</v>
      </c>
      <c r="Q25" s="39" t="s">
        <v>124</v>
      </c>
      <c r="R25" s="40"/>
      <c r="S25" s="5">
        <v>100</v>
      </c>
      <c r="T25" s="6" t="s">
        <v>71</v>
      </c>
    </row>
    <row r="26" spans="2:20" ht="15.6">
      <c r="B26" s="30" t="s">
        <v>108</v>
      </c>
      <c r="C26" s="30"/>
      <c r="D26" s="16">
        <v>47.5</v>
      </c>
      <c r="E26" s="2" t="s">
        <v>36</v>
      </c>
      <c r="G26" s="30" t="s">
        <v>19</v>
      </c>
      <c r="H26" s="30"/>
      <c r="I26" s="16">
        <v>340</v>
      </c>
      <c r="J26" s="2" t="s">
        <v>20</v>
      </c>
      <c r="L26" s="28" t="s">
        <v>75</v>
      </c>
      <c r="M26" s="29"/>
      <c r="N26" s="3">
        <v>10</v>
      </c>
      <c r="O26" s="4" t="s">
        <v>71</v>
      </c>
      <c r="Q26" s="41" t="s">
        <v>130</v>
      </c>
      <c r="R26" s="42"/>
      <c r="S26" s="7" t="s">
        <v>125</v>
      </c>
      <c r="T26" s="8" t="s">
        <v>106</v>
      </c>
    </row>
    <row r="27" spans="2:20" ht="16.8">
      <c r="B27" s="30" t="s">
        <v>7</v>
      </c>
      <c r="C27" s="30"/>
      <c r="D27" s="16">
        <v>50</v>
      </c>
      <c r="E27" s="2" t="s">
        <v>2</v>
      </c>
      <c r="G27" s="30" t="s">
        <v>28</v>
      </c>
      <c r="H27" s="30"/>
      <c r="I27" s="16">
        <v>169</v>
      </c>
      <c r="J27" s="2" t="s">
        <v>29</v>
      </c>
      <c r="L27" s="28" t="s">
        <v>76</v>
      </c>
      <c r="M27" s="29"/>
      <c r="N27" s="9">
        <f>1/Ipk_max_actual</f>
        <v>0.26699953913724522</v>
      </c>
      <c r="O27" s="4" t="s">
        <v>64</v>
      </c>
      <c r="Q27" s="35" t="s">
        <v>126</v>
      </c>
      <c r="R27" s="29"/>
      <c r="S27" s="3">
        <v>500</v>
      </c>
      <c r="T27" s="10" t="s">
        <v>64</v>
      </c>
    </row>
    <row r="28" spans="2:20" ht="16.2" thickBot="1">
      <c r="B28" s="30" t="s">
        <v>9</v>
      </c>
      <c r="C28" s="30"/>
      <c r="D28" s="16">
        <v>1</v>
      </c>
      <c r="E28" s="2" t="s">
        <v>10</v>
      </c>
      <c r="G28" s="30" t="s">
        <v>30</v>
      </c>
      <c r="H28" s="30"/>
      <c r="I28" s="16">
        <v>0.3</v>
      </c>
      <c r="J28" s="2" t="s">
        <v>31</v>
      </c>
      <c r="L28" s="28" t="s">
        <v>77</v>
      </c>
      <c r="M28" s="29"/>
      <c r="N28" s="3">
        <f>Rvs_1/1000</f>
        <v>130.14422222700679</v>
      </c>
      <c r="O28" s="4" t="s">
        <v>67</v>
      </c>
      <c r="Q28" s="36" t="s">
        <v>127</v>
      </c>
      <c r="R28" s="37"/>
      <c r="S28" s="11">
        <v>22</v>
      </c>
      <c r="T28" s="12" t="s">
        <v>2</v>
      </c>
    </row>
    <row r="29" spans="2:20" ht="15.6">
      <c r="B29" s="30" t="s">
        <v>8</v>
      </c>
      <c r="C29" s="30"/>
      <c r="D29" s="16">
        <v>3.3</v>
      </c>
      <c r="E29" s="2" t="s">
        <v>2</v>
      </c>
      <c r="G29" s="28" t="s">
        <v>32</v>
      </c>
      <c r="H29" s="29"/>
      <c r="I29" s="3">
        <f>(1.27/N27)*Lm/Ae/Bmax</f>
        <v>31.898052384345881</v>
      </c>
      <c r="J29" s="4" t="s">
        <v>33</v>
      </c>
      <c r="L29" s="28" t="s">
        <v>78</v>
      </c>
      <c r="M29" s="29"/>
      <c r="N29" s="3">
        <f>Rvs_2/1000</f>
        <v>26.028844445401358</v>
      </c>
      <c r="O29" s="4" t="s">
        <v>67</v>
      </c>
    </row>
    <row r="30" spans="2:20" ht="15.6">
      <c r="B30" s="30" t="s">
        <v>11</v>
      </c>
      <c r="C30" s="30"/>
      <c r="D30" s="16">
        <v>20</v>
      </c>
      <c r="E30" s="2" t="s">
        <v>12</v>
      </c>
      <c r="G30" s="30" t="s">
        <v>38</v>
      </c>
      <c r="H30" s="30"/>
      <c r="I30" s="16">
        <v>33</v>
      </c>
      <c r="J30" s="2" t="s">
        <v>33</v>
      </c>
      <c r="L30" s="28" t="s">
        <v>84</v>
      </c>
      <c r="M30" s="29"/>
      <c r="N30" s="3">
        <v>5</v>
      </c>
      <c r="O30" s="4" t="s">
        <v>85</v>
      </c>
      <c r="Q30" s="33" t="s">
        <v>114</v>
      </c>
      <c r="R30" s="33"/>
      <c r="S30" s="33"/>
      <c r="T30" s="33"/>
    </row>
    <row r="31" spans="2:20" ht="15.6">
      <c r="B31" s="30" t="s">
        <v>26</v>
      </c>
      <c r="C31" s="30"/>
      <c r="D31" s="16">
        <v>90</v>
      </c>
      <c r="E31" s="2" t="s">
        <v>27</v>
      </c>
      <c r="G31" s="30" t="s">
        <v>131</v>
      </c>
      <c r="H31" s="30"/>
      <c r="I31" s="16">
        <v>87</v>
      </c>
      <c r="J31" s="21" t="s">
        <v>2</v>
      </c>
      <c r="L31" s="30" t="s">
        <v>86</v>
      </c>
      <c r="M31" s="30"/>
      <c r="N31" s="16">
        <v>810</v>
      </c>
      <c r="O31" s="2" t="s">
        <v>71</v>
      </c>
      <c r="Q31" s="28" t="s">
        <v>115</v>
      </c>
      <c r="R31" s="29"/>
      <c r="S31" s="3">
        <f>Vin_pk_max+Vsn</f>
        <v>631.33513652379406</v>
      </c>
      <c r="T31" s="4" t="s">
        <v>2</v>
      </c>
    </row>
    <row r="32" spans="2:20" ht="15.6">
      <c r="B32" s="28" t="s">
        <v>34</v>
      </c>
      <c r="C32" s="29"/>
      <c r="D32" s="14">
        <f>Pout/eff</f>
        <v>55.738888888888887</v>
      </c>
      <c r="E32" s="4" t="s">
        <v>15</v>
      </c>
      <c r="G32" s="28" t="s">
        <v>39</v>
      </c>
      <c r="H32" s="29"/>
      <c r="I32" s="13">
        <f>Np/nps_1</f>
        <v>18.96551724137931</v>
      </c>
      <c r="J32" s="4" t="s">
        <v>33</v>
      </c>
      <c r="L32" s="28" t="s">
        <v>97</v>
      </c>
      <c r="M32" s="29"/>
      <c r="N32" s="3">
        <f>Rpf_1_rec/1000</f>
        <v>212.30000000000007</v>
      </c>
      <c r="O32" s="4" t="s">
        <v>67</v>
      </c>
      <c r="Q32" s="28" t="s">
        <v>116</v>
      </c>
      <c r="R32" s="29"/>
      <c r="S32" s="14">
        <f>Ipk_max_actual</f>
        <v>3.7453248167816948</v>
      </c>
      <c r="T32" s="4" t="s">
        <v>10</v>
      </c>
    </row>
    <row r="33" spans="2:20" ht="15.6">
      <c r="B33" s="28" t="s">
        <v>14</v>
      </c>
      <c r="C33" s="29"/>
      <c r="D33" s="14">
        <f>Vout1*Iout1+Vout2*Iout2</f>
        <v>50.164999999999999</v>
      </c>
      <c r="E33" s="4" t="s">
        <v>15</v>
      </c>
      <c r="G33" s="28" t="s">
        <v>40</v>
      </c>
      <c r="H33" s="29"/>
      <c r="I33" s="13">
        <f>Np/nps_2</f>
        <v>3.1293103448275863</v>
      </c>
      <c r="J33" s="4" t="s">
        <v>33</v>
      </c>
      <c r="L33" s="28" t="s">
        <v>98</v>
      </c>
      <c r="M33" s="29"/>
      <c r="N33" s="3">
        <f>Rpf_2_rec/1000</f>
        <v>287.69999999999993</v>
      </c>
      <c r="O33" s="4" t="s">
        <v>67</v>
      </c>
      <c r="Q33" s="28" t="s">
        <v>117</v>
      </c>
      <c r="R33" s="29"/>
      <c r="S33" s="14">
        <f>Isw_rms</f>
        <v>1.0004453903966761</v>
      </c>
      <c r="T33" s="4" t="s">
        <v>10</v>
      </c>
    </row>
    <row r="34" spans="2:20" ht="15.6">
      <c r="G34" s="28" t="s">
        <v>41</v>
      </c>
      <c r="H34" s="29"/>
      <c r="I34" s="13">
        <f>Np/npa</f>
        <v>7.9655172413793096</v>
      </c>
      <c r="J34" s="4" t="s">
        <v>33</v>
      </c>
      <c r="L34" s="30" t="s">
        <v>99</v>
      </c>
      <c r="M34" s="30"/>
      <c r="N34" s="16">
        <v>220</v>
      </c>
      <c r="O34" s="2" t="s">
        <v>67</v>
      </c>
      <c r="Q34" s="28" t="s">
        <v>119</v>
      </c>
      <c r="R34" s="29"/>
      <c r="S34" s="3">
        <f>Vout1*1.1+Vin_pk_max/nps_1</f>
        <v>302.89375662287011</v>
      </c>
      <c r="T34" s="4" t="s">
        <v>2</v>
      </c>
    </row>
    <row r="35" spans="2:20" ht="15.6">
      <c r="L35" s="30" t="s">
        <v>100</v>
      </c>
      <c r="M35" s="30"/>
      <c r="N35" s="16">
        <v>280</v>
      </c>
      <c r="O35" s="2" t="s">
        <v>67</v>
      </c>
      <c r="Q35" s="28" t="s">
        <v>120</v>
      </c>
      <c r="R35" s="29"/>
      <c r="S35" s="14">
        <f>Ipk_max_actual*nps_1</f>
        <v>6.5168651812001492</v>
      </c>
      <c r="T35" s="4" t="s">
        <v>10</v>
      </c>
    </row>
    <row r="36" spans="2:20" ht="15.6">
      <c r="G36" s="33" t="s">
        <v>45</v>
      </c>
      <c r="H36" s="33"/>
      <c r="I36" s="33"/>
      <c r="J36" s="33"/>
      <c r="L36" s="28" t="s">
        <v>101</v>
      </c>
      <c r="M36" s="29"/>
      <c r="N36" s="3">
        <v>0</v>
      </c>
      <c r="O36" s="4" t="s">
        <v>71</v>
      </c>
      <c r="Q36" s="28" t="s">
        <v>121</v>
      </c>
      <c r="R36" s="29"/>
      <c r="S36" s="3">
        <f>Vout2*1.1+Vin_pk_max/nps_2</f>
        <v>49.977469842773573</v>
      </c>
      <c r="T36" s="4" t="s">
        <v>2</v>
      </c>
    </row>
    <row r="37" spans="2:20" ht="15.6">
      <c r="F37" s="15"/>
      <c r="G37" s="30" t="s">
        <v>46</v>
      </c>
      <c r="H37" s="30"/>
      <c r="I37" s="16">
        <v>1.6</v>
      </c>
      <c r="J37" s="2" t="s">
        <v>20</v>
      </c>
      <c r="L37" s="28" t="s">
        <v>129</v>
      </c>
      <c r="M37" s="29"/>
      <c r="N37" s="3">
        <f>S6*10^6</f>
        <v>1116.3740859355116</v>
      </c>
      <c r="O37" s="4" t="s">
        <v>106</v>
      </c>
    </row>
    <row r="38" spans="2:20" ht="15.6">
      <c r="B38" s="15"/>
      <c r="C38" s="15"/>
      <c r="D38" s="15"/>
      <c r="E38" s="15"/>
      <c r="F38" s="15"/>
      <c r="G38" s="30" t="s">
        <v>60</v>
      </c>
      <c r="H38" s="30"/>
      <c r="I38" s="16">
        <v>200</v>
      </c>
      <c r="J38" s="2" t="s">
        <v>2</v>
      </c>
      <c r="L38" s="28" t="s">
        <v>102</v>
      </c>
      <c r="M38" s="29"/>
      <c r="N38" s="3">
        <f>Cpf*10^12</f>
        <v>292.20779220779218</v>
      </c>
      <c r="O38" s="4" t="s">
        <v>85</v>
      </c>
    </row>
    <row r="39" spans="2:20" ht="15.6">
      <c r="F39" s="15"/>
      <c r="G39" s="30" t="s">
        <v>61</v>
      </c>
      <c r="H39" s="30"/>
      <c r="I39" s="16">
        <v>45</v>
      </c>
      <c r="J39" s="2" t="s">
        <v>2</v>
      </c>
      <c r="L39" s="28" t="s">
        <v>111</v>
      </c>
      <c r="M39" s="29"/>
      <c r="N39" s="3">
        <f>S8*10^6</f>
        <v>477.48732223661563</v>
      </c>
      <c r="O39" s="4" t="s">
        <v>106</v>
      </c>
    </row>
    <row r="40" spans="2:20" ht="15.6">
      <c r="F40" s="15"/>
      <c r="G40" s="28" t="s">
        <v>66</v>
      </c>
      <c r="H40" s="29"/>
      <c r="I40" s="3">
        <f>Rsn*0.001</f>
        <v>49.626218013026168</v>
      </c>
      <c r="J40" s="4" t="s">
        <v>67</v>
      </c>
    </row>
    <row r="41" spans="2:20" ht="15.6">
      <c r="F41" s="15"/>
      <c r="G41" s="28" t="s">
        <v>70</v>
      </c>
      <c r="H41" s="29"/>
      <c r="I41" s="13">
        <f>Csn*10^9</f>
        <v>2.2068763788713213</v>
      </c>
      <c r="J41" s="4" t="s">
        <v>71</v>
      </c>
    </row>
    <row r="42" spans="2:20">
      <c r="F42" s="15"/>
    </row>
    <row r="43" spans="2:20">
      <c r="F43" s="15"/>
    </row>
    <row r="44" spans="2:20">
      <c r="F44" s="15"/>
    </row>
  </sheetData>
  <sheetProtection password="E642" sheet="1" objects="1" scenarios="1" selectLockedCells="1"/>
  <mergeCells count="116">
    <mergeCell ref="Q4:R4"/>
    <mergeCell ref="L37:M37"/>
    <mergeCell ref="J5:K5"/>
    <mergeCell ref="J7:K7"/>
    <mergeCell ref="J8:K8"/>
    <mergeCell ref="J6:K6"/>
    <mergeCell ref="L30:M30"/>
    <mergeCell ref="L31:M31"/>
    <mergeCell ref="Q30:T30"/>
    <mergeCell ref="Q31:R31"/>
    <mergeCell ref="Q32:R32"/>
    <mergeCell ref="Q33:R33"/>
    <mergeCell ref="J4:K4"/>
    <mergeCell ref="Q6:R6"/>
    <mergeCell ref="Q34:R34"/>
    <mergeCell ref="Q35:R35"/>
    <mergeCell ref="Q36:R36"/>
    <mergeCell ref="Q10:R10"/>
    <mergeCell ref="Q7:R7"/>
    <mergeCell ref="Q8:R8"/>
    <mergeCell ref="Q23:T23"/>
    <mergeCell ref="Q24:R24"/>
    <mergeCell ref="Q25:R25"/>
    <mergeCell ref="Q26:R26"/>
    <mergeCell ref="Q5:R5"/>
    <mergeCell ref="L39:M39"/>
    <mergeCell ref="J17:K17"/>
    <mergeCell ref="L36:M36"/>
    <mergeCell ref="L38:M38"/>
    <mergeCell ref="J19:K19"/>
    <mergeCell ref="J18:K18"/>
    <mergeCell ref="J15:K15"/>
    <mergeCell ref="L32:M32"/>
    <mergeCell ref="L33:M33"/>
    <mergeCell ref="L34:M34"/>
    <mergeCell ref="L35:M35"/>
    <mergeCell ref="J16:K16"/>
    <mergeCell ref="J9:K9"/>
    <mergeCell ref="J10:K10"/>
    <mergeCell ref="J11:K11"/>
    <mergeCell ref="J12:K12"/>
    <mergeCell ref="J13:K13"/>
    <mergeCell ref="J14:K14"/>
    <mergeCell ref="L29:M29"/>
    <mergeCell ref="Q27:R27"/>
    <mergeCell ref="Q28:R28"/>
    <mergeCell ref="Q9:T9"/>
    <mergeCell ref="G41:H41"/>
    <mergeCell ref="L23:O23"/>
    <mergeCell ref="L24:M24"/>
    <mergeCell ref="L25:M25"/>
    <mergeCell ref="L26:M26"/>
    <mergeCell ref="L27:M27"/>
    <mergeCell ref="J3:M3"/>
    <mergeCell ref="L28:M28"/>
    <mergeCell ref="F8:G8"/>
    <mergeCell ref="F10:G10"/>
    <mergeCell ref="F9:G9"/>
    <mergeCell ref="F18:G18"/>
    <mergeCell ref="F16:I16"/>
    <mergeCell ref="F17:G17"/>
    <mergeCell ref="G37:H37"/>
    <mergeCell ref="G38:H38"/>
    <mergeCell ref="G39:H39"/>
    <mergeCell ref="F3:G3"/>
    <mergeCell ref="F4:G4"/>
    <mergeCell ref="G40:H40"/>
    <mergeCell ref="F15:G15"/>
    <mergeCell ref="G34:H34"/>
    <mergeCell ref="G36:J36"/>
    <mergeCell ref="F19:G19"/>
    <mergeCell ref="B3:E3"/>
    <mergeCell ref="B7:C7"/>
    <mergeCell ref="G23:J23"/>
    <mergeCell ref="G24:H24"/>
    <mergeCell ref="B11:E11"/>
    <mergeCell ref="B12:C12"/>
    <mergeCell ref="B13:C13"/>
    <mergeCell ref="G25:H25"/>
    <mergeCell ref="B23:E23"/>
    <mergeCell ref="B24:C24"/>
    <mergeCell ref="B17:C17"/>
    <mergeCell ref="B16:C16"/>
    <mergeCell ref="B18:C18"/>
    <mergeCell ref="F13:G13"/>
    <mergeCell ref="F5:G5"/>
    <mergeCell ref="F6:G6"/>
    <mergeCell ref="F7:G7"/>
    <mergeCell ref="B10:C10"/>
    <mergeCell ref="B9:C9"/>
    <mergeCell ref="B14:C14"/>
    <mergeCell ref="B6:C6"/>
    <mergeCell ref="F12:G12"/>
    <mergeCell ref="F11:G11"/>
    <mergeCell ref="B8:C8"/>
    <mergeCell ref="B33:C33"/>
    <mergeCell ref="B25:C25"/>
    <mergeCell ref="B5:C5"/>
    <mergeCell ref="B4:C4"/>
    <mergeCell ref="B27:C27"/>
    <mergeCell ref="B29:C29"/>
    <mergeCell ref="B28:C28"/>
    <mergeCell ref="G30:H30"/>
    <mergeCell ref="G32:H32"/>
    <mergeCell ref="B31:C31"/>
    <mergeCell ref="B32:C32"/>
    <mergeCell ref="G33:H33"/>
    <mergeCell ref="G26:H26"/>
    <mergeCell ref="G27:H27"/>
    <mergeCell ref="G28:H28"/>
    <mergeCell ref="G29:H29"/>
    <mergeCell ref="B30:C30"/>
    <mergeCell ref="B26:C26"/>
    <mergeCell ref="B15:E15"/>
    <mergeCell ref="B19:C19"/>
    <mergeCell ref="G31:H31"/>
  </mergeCells>
  <pageMargins left="0.7" right="0.7" top="0.75" bottom="0.75" header="0.3" footer="0.3"/>
  <pageSetup paperSize="9" orientation="portrait" r:id="rId1"/>
  <ignoredErrors>
    <ignoredError sqref="N38" formula="1"/>
  </ignoredErrors>
  <legacyDrawing r:id="rId2"/>
  <oleObjects>
    <oleObject progId="Visio.Drawing.11" shapeId="1025" r:id="rId3"/>
    <oleObject progId="Visio.Drawing.11" shapeId="1044"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62</vt:i4>
      </vt:variant>
    </vt:vector>
  </HeadingPairs>
  <TitlesOfParts>
    <vt:vector size="63" baseType="lpstr">
      <vt:lpstr>FL7740 Design Tool</vt:lpstr>
      <vt:lpstr>Ae</vt:lpstr>
      <vt:lpstr>Bmax</vt:lpstr>
      <vt:lpstr>Cemi</vt:lpstr>
      <vt:lpstr>Cpf</vt:lpstr>
      <vt:lpstr>Csn</vt:lpstr>
      <vt:lpstr>eff</vt:lpstr>
      <vt:lpstr>fline</vt:lpstr>
      <vt:lpstr>fsw_actual</vt:lpstr>
      <vt:lpstr>fsw_bcm</vt:lpstr>
      <vt:lpstr>fsw_dcm</vt:lpstr>
      <vt:lpstr>Iin_max_actual</vt:lpstr>
      <vt:lpstr>Iin_max_bcm</vt:lpstr>
      <vt:lpstr>Iin_max_dcm</vt:lpstr>
      <vt:lpstr>Iout1</vt:lpstr>
      <vt:lpstr>Iout2</vt:lpstr>
      <vt:lpstr>Ipf_initial</vt:lpstr>
      <vt:lpstr>Ipk_max_actual</vt:lpstr>
      <vt:lpstr>Ipk_max_dcm</vt:lpstr>
      <vt:lpstr>Isw_rms</vt:lpstr>
      <vt:lpstr>Ivs_max</vt:lpstr>
      <vt:lpstr>Llk</vt:lpstr>
      <vt:lpstr>Lm</vt:lpstr>
      <vt:lpstr>Lm_rec</vt:lpstr>
      <vt:lpstr>Np</vt:lpstr>
      <vt:lpstr>npa</vt:lpstr>
      <vt:lpstr>Npf</vt:lpstr>
      <vt:lpstr>nps_1</vt:lpstr>
      <vt:lpstr>nps_2</vt:lpstr>
      <vt:lpstr>Ns_1</vt:lpstr>
      <vt:lpstr>Ns_2</vt:lpstr>
      <vt:lpstr>Pin</vt:lpstr>
      <vt:lpstr>Pout</vt:lpstr>
      <vt:lpstr>Rout1</vt:lpstr>
      <vt:lpstr>Rpf_1_actual</vt:lpstr>
      <vt:lpstr>Rpf_1_rec</vt:lpstr>
      <vt:lpstr>Rpf_2_actual</vt:lpstr>
      <vt:lpstr>Rpf_2_rec</vt:lpstr>
      <vt:lpstr>Rpf_total</vt:lpstr>
      <vt:lpstr>Rsn</vt:lpstr>
      <vt:lpstr>Rvs_1</vt:lpstr>
      <vt:lpstr>Rvs_2</vt:lpstr>
      <vt:lpstr>Ton_max_actual</vt:lpstr>
      <vt:lpstr>Ton_max_bcm</vt:lpstr>
      <vt:lpstr>Ton_max_dcm</vt:lpstr>
      <vt:lpstr>Ts_bcm</vt:lpstr>
      <vt:lpstr>Vaux_neg_max</vt:lpstr>
      <vt:lpstr>VDD</vt:lpstr>
      <vt:lpstr>Vin_max</vt:lpstr>
      <vt:lpstr>Vin_min</vt:lpstr>
      <vt:lpstr>Vin_pk_max</vt:lpstr>
      <vt:lpstr>Vin_pk_min</vt:lpstr>
      <vt:lpstr>Vout1</vt:lpstr>
      <vt:lpstr>Vout1_ripple_set0</vt:lpstr>
      <vt:lpstr>Vout1_ripple_set1</vt:lpstr>
      <vt:lpstr>Vout2</vt:lpstr>
      <vt:lpstr>Vpf</vt:lpstr>
      <vt:lpstr>Vpf_initial</vt:lpstr>
      <vt:lpstr>Vref</vt:lpstr>
      <vt:lpstr>Vreflect</vt:lpstr>
      <vt:lpstr>Vsn</vt:lpstr>
      <vt:lpstr>Vsn_d</vt:lpstr>
      <vt:lpstr>weight</vt:lpstr>
    </vt:vector>
  </TitlesOfParts>
  <Company>Fairchild Semiconductor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2016-09-12T00:36:10Z</dcterms:created>
  <dcterms:modified xsi:type="dcterms:W3CDTF">2017-03-29T09:46:49Z</dcterms:modified>
</cp:coreProperties>
</file>