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8" windowWidth="20112" windowHeight="7812"/>
  </bookViews>
  <sheets>
    <sheet name="Step 1 Design Parameters" sheetId="1" r:id="rId1"/>
    <sheet name="Step 2 Magnetic Design" sheetId="3" r:id="rId2"/>
    <sheet name="Inductor Worksheet" sheetId="2" state="hidden" r:id="rId3"/>
    <sheet name="Other Core" sheetId="4" state="hidden" r:id="rId4"/>
    <sheet name="Step 3 Thermal Protection" sheetId="5" r:id="rId5"/>
    <sheet name="TCO Worksheet" sheetId="6" state="hidden" r:id="rId6"/>
  </sheets>
  <definedNames>
    <definedName name="Cores">'Step 2 Magnetic Design'!$K$13:$K$22</definedName>
    <definedName name="Frequency">'Step 1 Design Parameters'!$U$3:$U$4</definedName>
    <definedName name="Front_end">'Step 1 Design Parameters'!$V$3:$V$4</definedName>
    <definedName name="Topology">'Step 1 Design Parameters'!$T$5:$T$8</definedName>
  </definedNames>
  <calcPr calcId="145621"/>
</workbook>
</file>

<file path=xl/calcChain.xml><?xml version="1.0" encoding="utf-8"?>
<calcChain xmlns="http://schemas.openxmlformats.org/spreadsheetml/2006/main">
  <c r="H39" i="1" l="1"/>
  <c r="F25" i="1"/>
  <c r="E23" i="1"/>
  <c r="F23" i="1"/>
  <c r="F27" i="1" l="1"/>
  <c r="F19" i="1"/>
  <c r="F10" i="1"/>
  <c r="F16" i="1"/>
  <c r="T22" i="1" l="1"/>
  <c r="T20" i="1"/>
  <c r="T17" i="1"/>
  <c r="T51" i="1" l="1"/>
  <c r="T52" i="1" s="1"/>
  <c r="N29" i="1" s="1"/>
  <c r="T34" i="1"/>
  <c r="P9" i="6"/>
  <c r="P8" i="6"/>
  <c r="E6" i="6"/>
  <c r="I133" i="6"/>
  <c r="I132" i="6"/>
  <c r="I131" i="6"/>
  <c r="I130" i="6"/>
  <c r="I128" i="6"/>
  <c r="I127" i="6"/>
  <c r="I126" i="6"/>
  <c r="I125" i="6"/>
  <c r="I123" i="6"/>
  <c r="I122" i="6"/>
  <c r="I121" i="6"/>
  <c r="I120" i="6"/>
  <c r="I118" i="6"/>
  <c r="I117" i="6"/>
  <c r="I116" i="6"/>
  <c r="I115" i="6"/>
  <c r="I113" i="6"/>
  <c r="I112" i="6"/>
  <c r="I111" i="6"/>
  <c r="I110" i="6"/>
  <c r="I108" i="6"/>
  <c r="I107" i="6"/>
  <c r="I106" i="6"/>
  <c r="I105" i="6"/>
  <c r="I103" i="6"/>
  <c r="I102" i="6"/>
  <c r="I101" i="6"/>
  <c r="I100" i="6"/>
  <c r="I98" i="6"/>
  <c r="I97" i="6"/>
  <c r="I96" i="6"/>
  <c r="I95" i="6"/>
  <c r="I93" i="6"/>
  <c r="I92" i="6"/>
  <c r="I91" i="6"/>
  <c r="I90" i="6"/>
  <c r="I88" i="6"/>
  <c r="I87" i="6"/>
  <c r="I86" i="6"/>
  <c r="I85" i="6"/>
  <c r="I83" i="6"/>
  <c r="I82" i="6"/>
  <c r="I81" i="6"/>
  <c r="I80" i="6"/>
  <c r="I78" i="6"/>
  <c r="I77" i="6"/>
  <c r="I76" i="6"/>
  <c r="I75" i="6"/>
  <c r="I73" i="6"/>
  <c r="I72" i="6"/>
  <c r="I71" i="6"/>
  <c r="I70" i="6"/>
  <c r="I68" i="6"/>
  <c r="I67" i="6"/>
  <c r="I66" i="6"/>
  <c r="I65" i="6"/>
  <c r="I63" i="6"/>
  <c r="I62" i="6"/>
  <c r="I61" i="6"/>
  <c r="I60" i="6"/>
  <c r="I58" i="6"/>
  <c r="I57" i="6"/>
  <c r="I56" i="6"/>
  <c r="I55" i="6"/>
  <c r="I53" i="6"/>
  <c r="I52" i="6"/>
  <c r="I51" i="6"/>
  <c r="I50" i="6"/>
  <c r="I48" i="6"/>
  <c r="I47" i="6"/>
  <c r="I46" i="6"/>
  <c r="I45" i="6"/>
  <c r="I43" i="6"/>
  <c r="I42" i="6"/>
  <c r="I41" i="6"/>
  <c r="I40" i="6"/>
  <c r="I38" i="6"/>
  <c r="I37" i="6"/>
  <c r="I36" i="6"/>
  <c r="I35" i="6"/>
  <c r="I33" i="6"/>
  <c r="I32" i="6"/>
  <c r="I31" i="6"/>
  <c r="I30" i="6"/>
  <c r="I28" i="6"/>
  <c r="I27" i="6"/>
  <c r="I26" i="6"/>
  <c r="I25" i="6"/>
  <c r="I23" i="6"/>
  <c r="I22" i="6"/>
  <c r="I21" i="6"/>
  <c r="I20" i="6"/>
  <c r="I18" i="6"/>
  <c r="I17" i="6"/>
  <c r="I16" i="6"/>
  <c r="I15" i="6"/>
  <c r="I13" i="6"/>
  <c r="I12" i="6"/>
  <c r="I11" i="6"/>
  <c r="I10" i="6"/>
  <c r="H11" i="6"/>
  <c r="H12" i="6" s="1"/>
  <c r="H10" i="6"/>
  <c r="P10" i="6" s="1"/>
  <c r="E5" i="6"/>
  <c r="E4" i="6"/>
  <c r="C10" i="6"/>
  <c r="C11" i="6" s="1"/>
  <c r="E9" i="6"/>
  <c r="T9" i="6" s="1"/>
  <c r="E8" i="6"/>
  <c r="T8" i="6" s="1"/>
  <c r="H37" i="1"/>
  <c r="F28" i="1"/>
  <c r="F24" i="1"/>
  <c r="H41" i="1"/>
  <c r="T40" i="1"/>
  <c r="E29" i="1" s="1"/>
  <c r="T38" i="1"/>
  <c r="T35" i="1"/>
  <c r="F8" i="4"/>
  <c r="B13" i="4"/>
  <c r="B12" i="4"/>
  <c r="B11" i="4"/>
  <c r="F46" i="4"/>
  <c r="J8" i="4"/>
  <c r="F9" i="4" s="1"/>
  <c r="D13" i="3"/>
  <c r="J8" i="2"/>
  <c r="B13" i="2"/>
  <c r="B12" i="2"/>
  <c r="B11" i="2"/>
  <c r="D8" i="3"/>
  <c r="C8" i="3"/>
  <c r="F8" i="2" s="1"/>
  <c r="F46" i="2"/>
  <c r="T16" i="1"/>
  <c r="N18" i="1" l="1"/>
  <c r="O18" i="1" s="1"/>
  <c r="N17" i="1"/>
  <c r="N31" i="1"/>
  <c r="C12" i="6"/>
  <c r="C13" i="6" s="1"/>
  <c r="E11" i="6"/>
  <c r="T11" i="6" s="1"/>
  <c r="H13" i="6"/>
  <c r="P12" i="6"/>
  <c r="P11" i="6"/>
  <c r="E10" i="6"/>
  <c r="T10" i="6" s="1"/>
  <c r="T47" i="1"/>
  <c r="T49" i="1" s="1"/>
  <c r="N11" i="1" s="1"/>
  <c r="F29" i="1"/>
  <c r="K47" i="6"/>
  <c r="J99" i="6"/>
  <c r="J19" i="6"/>
  <c r="K55" i="6"/>
  <c r="K79" i="6"/>
  <c r="K15" i="6"/>
  <c r="J83" i="6"/>
  <c r="K95" i="6"/>
  <c r="K63" i="6"/>
  <c r="K31" i="6"/>
  <c r="J115" i="6"/>
  <c r="J51" i="6"/>
  <c r="K71" i="6"/>
  <c r="K39" i="6"/>
  <c r="J131" i="6"/>
  <c r="J67" i="6"/>
  <c r="J35" i="6"/>
  <c r="K23" i="6"/>
  <c r="K87" i="6"/>
  <c r="L133" i="6"/>
  <c r="J15" i="6"/>
  <c r="J47" i="6"/>
  <c r="J63" i="6"/>
  <c r="J95" i="6"/>
  <c r="J127" i="6"/>
  <c r="K21" i="6"/>
  <c r="K37" i="6"/>
  <c r="K53" i="6"/>
  <c r="K69" i="6"/>
  <c r="K93" i="6"/>
  <c r="K109" i="6"/>
  <c r="K125" i="6"/>
  <c r="J11" i="6"/>
  <c r="J27" i="6"/>
  <c r="J43" i="6"/>
  <c r="J59" i="6"/>
  <c r="J75" i="6"/>
  <c r="J91" i="6"/>
  <c r="J107" i="6"/>
  <c r="J123" i="6"/>
  <c r="K11" i="6"/>
  <c r="K19" i="6"/>
  <c r="K27" i="6"/>
  <c r="K35" i="6"/>
  <c r="K43" i="6"/>
  <c r="K51" i="6"/>
  <c r="K59" i="6"/>
  <c r="K67" i="6"/>
  <c r="K75" i="6"/>
  <c r="K83" i="6"/>
  <c r="K91" i="6"/>
  <c r="K99" i="6"/>
  <c r="K107" i="6"/>
  <c r="K115" i="6"/>
  <c r="K123" i="6"/>
  <c r="K131" i="6"/>
  <c r="K103" i="6"/>
  <c r="K111" i="6"/>
  <c r="K119" i="6"/>
  <c r="K127" i="6"/>
  <c r="J31" i="6"/>
  <c r="J79" i="6"/>
  <c r="J111" i="6"/>
  <c r="K13" i="6"/>
  <c r="K29" i="6"/>
  <c r="K45" i="6"/>
  <c r="K61" i="6"/>
  <c r="K77" i="6"/>
  <c r="K85" i="6"/>
  <c r="K101" i="6"/>
  <c r="K117" i="6"/>
  <c r="K133" i="6"/>
  <c r="J23" i="6"/>
  <c r="J39" i="6"/>
  <c r="J55" i="6"/>
  <c r="J71" i="6"/>
  <c r="J87" i="6"/>
  <c r="J103" i="6"/>
  <c r="J119" i="6"/>
  <c r="K9" i="6"/>
  <c r="K17" i="6"/>
  <c r="K25" i="6"/>
  <c r="K33" i="6"/>
  <c r="K41" i="6"/>
  <c r="K49" i="6"/>
  <c r="K57" i="6"/>
  <c r="K65" i="6"/>
  <c r="K73" i="6"/>
  <c r="K81" i="6"/>
  <c r="K89" i="6"/>
  <c r="K97" i="6"/>
  <c r="K105" i="6"/>
  <c r="K113" i="6"/>
  <c r="K121" i="6"/>
  <c r="K129" i="6"/>
  <c r="J9" i="6"/>
  <c r="J13" i="6"/>
  <c r="J17" i="6"/>
  <c r="J21" i="6"/>
  <c r="J25" i="6"/>
  <c r="J29" i="6"/>
  <c r="J33" i="6"/>
  <c r="J37" i="6"/>
  <c r="J41" i="6"/>
  <c r="J45" i="6"/>
  <c r="J49" i="6"/>
  <c r="J53" i="6"/>
  <c r="J57" i="6"/>
  <c r="J61" i="6"/>
  <c r="J65" i="6"/>
  <c r="J69" i="6"/>
  <c r="J73" i="6"/>
  <c r="J77" i="6"/>
  <c r="J81" i="6"/>
  <c r="J85" i="6"/>
  <c r="J89" i="6"/>
  <c r="J93" i="6"/>
  <c r="J97" i="6"/>
  <c r="J101" i="6"/>
  <c r="J105" i="6"/>
  <c r="J109" i="6"/>
  <c r="J113" i="6"/>
  <c r="J117" i="6"/>
  <c r="J121" i="6"/>
  <c r="J125" i="6"/>
  <c r="J129" i="6"/>
  <c r="J133" i="6"/>
  <c r="K10" i="6"/>
  <c r="K12" i="6"/>
  <c r="K14" i="6"/>
  <c r="K16" i="6"/>
  <c r="K18" i="6"/>
  <c r="K20" i="6"/>
  <c r="K22" i="6"/>
  <c r="K24" i="6"/>
  <c r="K26" i="6"/>
  <c r="K28" i="6"/>
  <c r="K30" i="6"/>
  <c r="K32" i="6"/>
  <c r="K34" i="6"/>
  <c r="K36" i="6"/>
  <c r="K38" i="6"/>
  <c r="K40" i="6"/>
  <c r="K42" i="6"/>
  <c r="K44" i="6"/>
  <c r="K46" i="6"/>
  <c r="K48" i="6"/>
  <c r="K50" i="6"/>
  <c r="K52" i="6"/>
  <c r="K54" i="6"/>
  <c r="K56" i="6"/>
  <c r="K58" i="6"/>
  <c r="K60" i="6"/>
  <c r="K62" i="6"/>
  <c r="K64" i="6"/>
  <c r="K66" i="6"/>
  <c r="K68" i="6"/>
  <c r="K70" i="6"/>
  <c r="K72" i="6"/>
  <c r="K74" i="6"/>
  <c r="K76" i="6"/>
  <c r="K78" i="6"/>
  <c r="K80" i="6"/>
  <c r="K82" i="6"/>
  <c r="K84" i="6"/>
  <c r="K86" i="6"/>
  <c r="K88" i="6"/>
  <c r="K90" i="6"/>
  <c r="K92" i="6"/>
  <c r="K94" i="6"/>
  <c r="K96" i="6"/>
  <c r="K98" i="6"/>
  <c r="K100" i="6"/>
  <c r="K102" i="6"/>
  <c r="K104" i="6"/>
  <c r="K106" i="6"/>
  <c r="K108" i="6"/>
  <c r="K110" i="6"/>
  <c r="K112" i="6"/>
  <c r="K114" i="6"/>
  <c r="K116" i="6"/>
  <c r="K118" i="6"/>
  <c r="K120" i="6"/>
  <c r="K122" i="6"/>
  <c r="K124" i="6"/>
  <c r="K126" i="6"/>
  <c r="K128" i="6"/>
  <c r="K130" i="6"/>
  <c r="K132" i="6"/>
  <c r="K134" i="6"/>
  <c r="J10" i="6"/>
  <c r="J14" i="6"/>
  <c r="J18" i="6"/>
  <c r="J22" i="6"/>
  <c r="J26" i="6"/>
  <c r="J30" i="6"/>
  <c r="J34" i="6"/>
  <c r="J38" i="6"/>
  <c r="J42" i="6"/>
  <c r="J46" i="6"/>
  <c r="J50" i="6"/>
  <c r="J54" i="6"/>
  <c r="J58" i="6"/>
  <c r="J62" i="6"/>
  <c r="J66" i="6"/>
  <c r="J70" i="6"/>
  <c r="J74" i="6"/>
  <c r="J78" i="6"/>
  <c r="J82" i="6"/>
  <c r="J86" i="6"/>
  <c r="J90" i="6"/>
  <c r="J94" i="6"/>
  <c r="J98" i="6"/>
  <c r="J102" i="6"/>
  <c r="J106" i="6"/>
  <c r="J110" i="6"/>
  <c r="J114" i="6"/>
  <c r="J118" i="6"/>
  <c r="J122" i="6"/>
  <c r="J126" i="6"/>
  <c r="J130" i="6"/>
  <c r="J134" i="6"/>
  <c r="L10" i="6"/>
  <c r="L12" i="6"/>
  <c r="L14" i="6"/>
  <c r="L16" i="6"/>
  <c r="L18" i="6"/>
  <c r="L20" i="6"/>
  <c r="L22" i="6"/>
  <c r="L24" i="6"/>
  <c r="L26" i="6"/>
  <c r="L28" i="6"/>
  <c r="L30" i="6"/>
  <c r="L32" i="6"/>
  <c r="L34" i="6"/>
  <c r="L36" i="6"/>
  <c r="L38" i="6"/>
  <c r="L40" i="6"/>
  <c r="L42" i="6"/>
  <c r="L44" i="6"/>
  <c r="L46" i="6"/>
  <c r="L48" i="6"/>
  <c r="L50" i="6"/>
  <c r="L52" i="6"/>
  <c r="L54" i="6"/>
  <c r="L56" i="6"/>
  <c r="L58" i="6"/>
  <c r="L60" i="6"/>
  <c r="L62" i="6"/>
  <c r="L64" i="6"/>
  <c r="L66" i="6"/>
  <c r="L68" i="6"/>
  <c r="L70" i="6"/>
  <c r="L72" i="6"/>
  <c r="L74" i="6"/>
  <c r="L76" i="6"/>
  <c r="L78" i="6"/>
  <c r="L80" i="6"/>
  <c r="L82" i="6"/>
  <c r="L84" i="6"/>
  <c r="L86" i="6"/>
  <c r="L88" i="6"/>
  <c r="L90" i="6"/>
  <c r="L92" i="6"/>
  <c r="L94" i="6"/>
  <c r="L96" i="6"/>
  <c r="L98" i="6"/>
  <c r="L100" i="6"/>
  <c r="L102" i="6"/>
  <c r="L104" i="6"/>
  <c r="L106" i="6"/>
  <c r="L108" i="6"/>
  <c r="L110" i="6"/>
  <c r="L112" i="6"/>
  <c r="L114" i="6"/>
  <c r="L116" i="6"/>
  <c r="L118" i="6"/>
  <c r="L120" i="6"/>
  <c r="L122" i="6"/>
  <c r="L124" i="6"/>
  <c r="L126" i="6"/>
  <c r="L128" i="6"/>
  <c r="L130" i="6"/>
  <c r="L132" i="6"/>
  <c r="L134" i="6"/>
  <c r="F9" i="6"/>
  <c r="U9" i="6" s="1"/>
  <c r="J12" i="6"/>
  <c r="J16" i="6"/>
  <c r="J20" i="6"/>
  <c r="J24" i="6"/>
  <c r="J28" i="6"/>
  <c r="J32" i="6"/>
  <c r="J36" i="6"/>
  <c r="J40" i="6"/>
  <c r="J44" i="6"/>
  <c r="J48" i="6"/>
  <c r="J52" i="6"/>
  <c r="J56" i="6"/>
  <c r="J60" i="6"/>
  <c r="J64" i="6"/>
  <c r="J68" i="6"/>
  <c r="J72" i="6"/>
  <c r="J76" i="6"/>
  <c r="J80" i="6"/>
  <c r="J84" i="6"/>
  <c r="J88" i="6"/>
  <c r="J92" i="6"/>
  <c r="J96" i="6"/>
  <c r="J100" i="6"/>
  <c r="J104" i="6"/>
  <c r="J108" i="6"/>
  <c r="J112" i="6"/>
  <c r="J116" i="6"/>
  <c r="J120" i="6"/>
  <c r="J124" i="6"/>
  <c r="J128" i="6"/>
  <c r="J132" i="6"/>
  <c r="L9" i="6"/>
  <c r="L11" i="6"/>
  <c r="L13" i="6"/>
  <c r="L15" i="6"/>
  <c r="L17" i="6"/>
  <c r="L19" i="6"/>
  <c r="L21" i="6"/>
  <c r="L23" i="6"/>
  <c r="L25" i="6"/>
  <c r="L27" i="6"/>
  <c r="L29" i="6"/>
  <c r="L31" i="6"/>
  <c r="L33" i="6"/>
  <c r="L35" i="6"/>
  <c r="L37" i="6"/>
  <c r="L39" i="6"/>
  <c r="L41" i="6"/>
  <c r="L43" i="6"/>
  <c r="L45" i="6"/>
  <c r="L47" i="6"/>
  <c r="L49" i="6"/>
  <c r="L51" i="6"/>
  <c r="L53" i="6"/>
  <c r="L55" i="6"/>
  <c r="L57" i="6"/>
  <c r="L59" i="6"/>
  <c r="L61" i="6"/>
  <c r="L63" i="6"/>
  <c r="L65" i="6"/>
  <c r="L67" i="6"/>
  <c r="L69" i="6"/>
  <c r="L71" i="6"/>
  <c r="L73" i="6"/>
  <c r="L75" i="6"/>
  <c r="L77" i="6"/>
  <c r="L79" i="6"/>
  <c r="L81" i="6"/>
  <c r="L83" i="6"/>
  <c r="L85" i="6"/>
  <c r="L87" i="6"/>
  <c r="L89" i="6"/>
  <c r="L91" i="6"/>
  <c r="L93" i="6"/>
  <c r="L95" i="6"/>
  <c r="L97" i="6"/>
  <c r="L99" i="6"/>
  <c r="L101" i="6"/>
  <c r="L103" i="6"/>
  <c r="L105" i="6"/>
  <c r="L107" i="6"/>
  <c r="L109" i="6"/>
  <c r="L111" i="6"/>
  <c r="L113" i="6"/>
  <c r="L115" i="6"/>
  <c r="L117" i="6"/>
  <c r="L119" i="6"/>
  <c r="L121" i="6"/>
  <c r="L123" i="6"/>
  <c r="L125" i="6"/>
  <c r="L127" i="6"/>
  <c r="L129" i="6"/>
  <c r="L131" i="6"/>
  <c r="N20" i="1"/>
  <c r="F30" i="6"/>
  <c r="U30" i="6" s="1"/>
  <c r="F10" i="6"/>
  <c r="U10" i="6" s="1"/>
  <c r="F13" i="6"/>
  <c r="U13" i="6" s="1"/>
  <c r="F16" i="6"/>
  <c r="U16" i="6" s="1"/>
  <c r="F19" i="6"/>
  <c r="U19" i="6" s="1"/>
  <c r="F21" i="6"/>
  <c r="U21" i="6" s="1"/>
  <c r="F24" i="6"/>
  <c r="U24" i="6" s="1"/>
  <c r="F27" i="6"/>
  <c r="U27" i="6" s="1"/>
  <c r="F29" i="6"/>
  <c r="U29" i="6" s="1"/>
  <c r="F32" i="6"/>
  <c r="U32" i="6" s="1"/>
  <c r="F34" i="6"/>
  <c r="U34" i="6" s="1"/>
  <c r="F11" i="6"/>
  <c r="U11" i="6" s="1"/>
  <c r="F18" i="6"/>
  <c r="U18" i="6" s="1"/>
  <c r="F26" i="6"/>
  <c r="U26" i="6" s="1"/>
  <c r="F12" i="6"/>
  <c r="U12" i="6" s="1"/>
  <c r="F15" i="6"/>
  <c r="U15" i="6" s="1"/>
  <c r="F17" i="6"/>
  <c r="U17" i="6" s="1"/>
  <c r="F20" i="6"/>
  <c r="U20" i="6" s="1"/>
  <c r="F23" i="6"/>
  <c r="U23" i="6" s="1"/>
  <c r="F25" i="6"/>
  <c r="U25" i="6" s="1"/>
  <c r="F28" i="6"/>
  <c r="U28" i="6" s="1"/>
  <c r="F31" i="6"/>
  <c r="U31" i="6" s="1"/>
  <c r="F33" i="6"/>
  <c r="U33" i="6" s="1"/>
  <c r="F14" i="6"/>
  <c r="U14" i="6" s="1"/>
  <c r="F22" i="6"/>
  <c r="U22" i="6" s="1"/>
  <c r="C14" i="6"/>
  <c r="E13" i="6"/>
  <c r="T13" i="6" s="1"/>
  <c r="E12" i="6"/>
  <c r="T12" i="6" s="1"/>
  <c r="F9" i="2"/>
  <c r="G5" i="2" s="1"/>
  <c r="D15" i="3" s="1"/>
  <c r="T42" i="1"/>
  <c r="T36" i="1"/>
  <c r="N23" i="1"/>
  <c r="B14" i="4"/>
  <c r="G5" i="4"/>
  <c r="E15" i="3" s="1"/>
  <c r="H38" i="1" l="1"/>
  <c r="H44" i="1"/>
  <c r="D33" i="3"/>
  <c r="O11" i="1"/>
  <c r="H43" i="1"/>
  <c r="O17" i="1"/>
  <c r="P13" i="6"/>
  <c r="H14" i="6"/>
  <c r="N10" i="1"/>
  <c r="N16" i="1"/>
  <c r="N21" i="1"/>
  <c r="N13" i="1" s="1"/>
  <c r="N27" i="1"/>
  <c r="H40" i="1"/>
  <c r="O127" i="6"/>
  <c r="S127" i="6" s="1"/>
  <c r="O111" i="6"/>
  <c r="S111" i="6" s="1"/>
  <c r="O95" i="6"/>
  <c r="S95" i="6" s="1"/>
  <c r="O79" i="6"/>
  <c r="S79" i="6" s="1"/>
  <c r="O63" i="6"/>
  <c r="S63" i="6" s="1"/>
  <c r="O47" i="6"/>
  <c r="S47" i="6" s="1"/>
  <c r="O31" i="6"/>
  <c r="S31" i="6" s="1"/>
  <c r="O15" i="6"/>
  <c r="S15" i="6" s="1"/>
  <c r="M116" i="6"/>
  <c r="Q116" i="6" s="1"/>
  <c r="M84" i="6"/>
  <c r="Q84" i="6" s="1"/>
  <c r="M36" i="6"/>
  <c r="Q36" i="6" s="1"/>
  <c r="O134" i="6"/>
  <c r="S134" i="6" s="1"/>
  <c r="O118" i="6"/>
  <c r="S118" i="6" s="1"/>
  <c r="O102" i="6"/>
  <c r="S102" i="6" s="1"/>
  <c r="O86" i="6"/>
  <c r="S86" i="6" s="1"/>
  <c r="O70" i="6"/>
  <c r="S70" i="6" s="1"/>
  <c r="O54" i="6"/>
  <c r="S54" i="6" s="1"/>
  <c r="O38" i="6"/>
  <c r="S38" i="6" s="1"/>
  <c r="O22" i="6"/>
  <c r="S22" i="6" s="1"/>
  <c r="M130" i="6"/>
  <c r="Q130" i="6" s="1"/>
  <c r="M98" i="6"/>
  <c r="Q98" i="6" s="1"/>
  <c r="M66" i="6"/>
  <c r="Q66" i="6" s="1"/>
  <c r="M34" i="6"/>
  <c r="Q34" i="6" s="1"/>
  <c r="N132" i="6"/>
  <c r="R132" i="6" s="1"/>
  <c r="N116" i="6"/>
  <c r="R116" i="6" s="1"/>
  <c r="N100" i="6"/>
  <c r="R100" i="6" s="1"/>
  <c r="N84" i="6"/>
  <c r="R84" i="6" s="1"/>
  <c r="N68" i="6"/>
  <c r="R68" i="6" s="1"/>
  <c r="N52" i="6"/>
  <c r="R52" i="6" s="1"/>
  <c r="N36" i="6"/>
  <c r="R36" i="6" s="1"/>
  <c r="N20" i="6"/>
  <c r="R20" i="6" s="1"/>
  <c r="M125" i="6"/>
  <c r="Q125" i="6" s="1"/>
  <c r="M93" i="6"/>
  <c r="Q93" i="6" s="1"/>
  <c r="M61" i="6"/>
  <c r="Q61" i="6" s="1"/>
  <c r="M29" i="6"/>
  <c r="Q29" i="6" s="1"/>
  <c r="M13" i="6"/>
  <c r="Q13" i="6" s="1"/>
  <c r="N81" i="6"/>
  <c r="R81" i="6" s="1"/>
  <c r="N17" i="6"/>
  <c r="R17" i="6" s="1"/>
  <c r="M23" i="6"/>
  <c r="Q23" i="6" s="1"/>
  <c r="N29" i="6"/>
  <c r="R29" i="6" s="1"/>
  <c r="N103" i="6"/>
  <c r="R103" i="6" s="1"/>
  <c r="N75" i="6"/>
  <c r="R75" i="6" s="1"/>
  <c r="M75" i="6"/>
  <c r="Q75" i="6" s="1"/>
  <c r="N69" i="6"/>
  <c r="R69" i="6" s="1"/>
  <c r="M15" i="6"/>
  <c r="Q15" i="6" s="1"/>
  <c r="M35" i="6"/>
  <c r="Q35" i="6" s="1"/>
  <c r="N71" i="6"/>
  <c r="R71" i="6" s="1"/>
  <c r="N63" i="6"/>
  <c r="R63" i="6" s="1"/>
  <c r="N47" i="6"/>
  <c r="R47" i="6" s="1"/>
  <c r="O129" i="6"/>
  <c r="S129" i="6" s="1"/>
  <c r="O113" i="6"/>
  <c r="S113" i="6" s="1"/>
  <c r="O97" i="6"/>
  <c r="S97" i="6" s="1"/>
  <c r="O81" i="6"/>
  <c r="S81" i="6" s="1"/>
  <c r="O65" i="6"/>
  <c r="S65" i="6" s="1"/>
  <c r="O49" i="6"/>
  <c r="S49" i="6" s="1"/>
  <c r="O33" i="6"/>
  <c r="S33" i="6" s="1"/>
  <c r="O17" i="6"/>
  <c r="S17" i="6" s="1"/>
  <c r="M120" i="6"/>
  <c r="Q120" i="6" s="1"/>
  <c r="M88" i="6"/>
  <c r="Q88" i="6" s="1"/>
  <c r="M56" i="6"/>
  <c r="Q56" i="6" s="1"/>
  <c r="O120" i="6"/>
  <c r="S120" i="6" s="1"/>
  <c r="O104" i="6"/>
  <c r="S104" i="6" s="1"/>
  <c r="O88" i="6"/>
  <c r="S88" i="6" s="1"/>
  <c r="O72" i="6"/>
  <c r="S72" i="6" s="1"/>
  <c r="O56" i="6"/>
  <c r="S56" i="6" s="1"/>
  <c r="O40" i="6"/>
  <c r="S40" i="6" s="1"/>
  <c r="O24" i="6"/>
  <c r="S24" i="6" s="1"/>
  <c r="M134" i="6"/>
  <c r="Q134" i="6" s="1"/>
  <c r="M102" i="6"/>
  <c r="Q102" i="6" s="1"/>
  <c r="M70" i="6"/>
  <c r="Q70" i="6" s="1"/>
  <c r="M38" i="6"/>
  <c r="Q38" i="6" s="1"/>
  <c r="N134" i="6"/>
  <c r="R134" i="6" s="1"/>
  <c r="N118" i="6"/>
  <c r="R118" i="6" s="1"/>
  <c r="N102" i="6"/>
  <c r="R102" i="6" s="1"/>
  <c r="N86" i="6"/>
  <c r="R86" i="6" s="1"/>
  <c r="N70" i="6"/>
  <c r="R70" i="6" s="1"/>
  <c r="N54" i="6"/>
  <c r="R54" i="6" s="1"/>
  <c r="N38" i="6"/>
  <c r="R38" i="6" s="1"/>
  <c r="N22" i="6"/>
  <c r="R22" i="6" s="1"/>
  <c r="M129" i="6"/>
  <c r="Q129" i="6" s="1"/>
  <c r="M97" i="6"/>
  <c r="Q97" i="6" s="1"/>
  <c r="M65" i="6"/>
  <c r="Q65" i="6" s="1"/>
  <c r="M33" i="6"/>
  <c r="Q33" i="6" s="1"/>
  <c r="N121" i="6"/>
  <c r="R121" i="6" s="1"/>
  <c r="N57" i="6"/>
  <c r="R57" i="6" s="1"/>
  <c r="M103" i="6"/>
  <c r="Q103" i="6" s="1"/>
  <c r="N101" i="6"/>
  <c r="R101" i="6" s="1"/>
  <c r="M79" i="6"/>
  <c r="Q79" i="6" s="1"/>
  <c r="N115" i="6"/>
  <c r="R115" i="6" s="1"/>
  <c r="N51" i="6"/>
  <c r="R51" i="6" s="1"/>
  <c r="M91" i="6"/>
  <c r="Q91" i="6" s="1"/>
  <c r="N93" i="6"/>
  <c r="R93" i="6" s="1"/>
  <c r="N21" i="6"/>
  <c r="R21" i="6" s="1"/>
  <c r="M47" i="6"/>
  <c r="Q47" i="6" s="1"/>
  <c r="N23" i="6"/>
  <c r="R23" i="6" s="1"/>
  <c r="N39" i="6"/>
  <c r="R39" i="6" s="1"/>
  <c r="N31" i="6"/>
  <c r="R31" i="6" s="1"/>
  <c r="M99" i="6"/>
  <c r="Q99" i="6" s="1"/>
  <c r="O131" i="6"/>
  <c r="S131" i="6" s="1"/>
  <c r="O123" i="6"/>
  <c r="S123" i="6" s="1"/>
  <c r="O115" i="6"/>
  <c r="S115" i="6" s="1"/>
  <c r="O107" i="6"/>
  <c r="S107" i="6" s="1"/>
  <c r="O99" i="6"/>
  <c r="S99" i="6" s="1"/>
  <c r="O91" i="6"/>
  <c r="S91" i="6" s="1"/>
  <c r="O83" i="6"/>
  <c r="S83" i="6" s="1"/>
  <c r="O75" i="6"/>
  <c r="S75" i="6" s="1"/>
  <c r="O67" i="6"/>
  <c r="S67" i="6" s="1"/>
  <c r="O59" i="6"/>
  <c r="S59" i="6" s="1"/>
  <c r="O51" i="6"/>
  <c r="S51" i="6" s="1"/>
  <c r="O43" i="6"/>
  <c r="S43" i="6" s="1"/>
  <c r="O35" i="6"/>
  <c r="S35" i="6" s="1"/>
  <c r="O27" i="6"/>
  <c r="S27" i="6" s="1"/>
  <c r="O19" i="6"/>
  <c r="S19" i="6" s="1"/>
  <c r="O11" i="6"/>
  <c r="S11" i="6" s="1"/>
  <c r="M124" i="6"/>
  <c r="Q124" i="6" s="1"/>
  <c r="M108" i="6"/>
  <c r="Q108" i="6" s="1"/>
  <c r="M92" i="6"/>
  <c r="Q92" i="6" s="1"/>
  <c r="M76" i="6"/>
  <c r="Q76" i="6" s="1"/>
  <c r="M60" i="6"/>
  <c r="Q60" i="6" s="1"/>
  <c r="M44" i="6"/>
  <c r="Q44" i="6" s="1"/>
  <c r="M28" i="6"/>
  <c r="Q28" i="6" s="1"/>
  <c r="M12" i="6"/>
  <c r="Q12" i="6" s="1"/>
  <c r="O130" i="6"/>
  <c r="S130" i="6" s="1"/>
  <c r="O122" i="6"/>
  <c r="S122" i="6" s="1"/>
  <c r="O114" i="6"/>
  <c r="S114" i="6" s="1"/>
  <c r="O106" i="6"/>
  <c r="S106" i="6" s="1"/>
  <c r="O98" i="6"/>
  <c r="S98" i="6" s="1"/>
  <c r="O90" i="6"/>
  <c r="S90" i="6" s="1"/>
  <c r="O82" i="6"/>
  <c r="S82" i="6" s="1"/>
  <c r="O74" i="6"/>
  <c r="S74" i="6" s="1"/>
  <c r="O66" i="6"/>
  <c r="S66" i="6" s="1"/>
  <c r="O58" i="6"/>
  <c r="S58" i="6" s="1"/>
  <c r="O50" i="6"/>
  <c r="S50" i="6" s="1"/>
  <c r="O42" i="6"/>
  <c r="S42" i="6" s="1"/>
  <c r="O34" i="6"/>
  <c r="S34" i="6" s="1"/>
  <c r="O26" i="6"/>
  <c r="S26" i="6" s="1"/>
  <c r="O18" i="6"/>
  <c r="S18" i="6" s="1"/>
  <c r="O10" i="6"/>
  <c r="S10" i="6" s="1"/>
  <c r="M122" i="6"/>
  <c r="Q122" i="6" s="1"/>
  <c r="M106" i="6"/>
  <c r="Q106" i="6" s="1"/>
  <c r="M90" i="6"/>
  <c r="Q90" i="6" s="1"/>
  <c r="M74" i="6"/>
  <c r="Q74" i="6" s="1"/>
  <c r="M58" i="6"/>
  <c r="Q58" i="6" s="1"/>
  <c r="M42" i="6"/>
  <c r="Q42" i="6" s="1"/>
  <c r="M26" i="6"/>
  <c r="Q26" i="6" s="1"/>
  <c r="M10" i="6"/>
  <c r="Q10" i="6" s="1"/>
  <c r="N128" i="6"/>
  <c r="R128" i="6" s="1"/>
  <c r="N120" i="6"/>
  <c r="R120" i="6" s="1"/>
  <c r="N112" i="6"/>
  <c r="R112" i="6" s="1"/>
  <c r="N104" i="6"/>
  <c r="R104" i="6" s="1"/>
  <c r="N96" i="6"/>
  <c r="R96" i="6" s="1"/>
  <c r="N88" i="6"/>
  <c r="R88" i="6" s="1"/>
  <c r="N80" i="6"/>
  <c r="R80" i="6" s="1"/>
  <c r="N72" i="6"/>
  <c r="R72" i="6" s="1"/>
  <c r="N64" i="6"/>
  <c r="R64" i="6" s="1"/>
  <c r="N56" i="6"/>
  <c r="R56" i="6" s="1"/>
  <c r="N48" i="6"/>
  <c r="R48" i="6" s="1"/>
  <c r="N40" i="6"/>
  <c r="R40" i="6" s="1"/>
  <c r="N32" i="6"/>
  <c r="R32" i="6" s="1"/>
  <c r="N24" i="6"/>
  <c r="R24" i="6" s="1"/>
  <c r="N16" i="6"/>
  <c r="R16" i="6" s="1"/>
  <c r="M133" i="6"/>
  <c r="Q133" i="6" s="1"/>
  <c r="M117" i="6"/>
  <c r="Q117" i="6" s="1"/>
  <c r="M101" i="6"/>
  <c r="Q101" i="6" s="1"/>
  <c r="M85" i="6"/>
  <c r="Q85" i="6" s="1"/>
  <c r="M69" i="6"/>
  <c r="Q69" i="6" s="1"/>
  <c r="M53" i="6"/>
  <c r="Q53" i="6" s="1"/>
  <c r="M37" i="6"/>
  <c r="Q37" i="6" s="1"/>
  <c r="M21" i="6"/>
  <c r="Q21" i="6" s="1"/>
  <c r="N129" i="6"/>
  <c r="R129" i="6" s="1"/>
  <c r="N97" i="6"/>
  <c r="R97" i="6" s="1"/>
  <c r="N65" i="6"/>
  <c r="R65" i="6" s="1"/>
  <c r="N33" i="6"/>
  <c r="R33" i="6" s="1"/>
  <c r="M119" i="6"/>
  <c r="Q119" i="6" s="1"/>
  <c r="M55" i="6"/>
  <c r="Q55" i="6" s="1"/>
  <c r="N117" i="6"/>
  <c r="R117" i="6" s="1"/>
  <c r="N61" i="6"/>
  <c r="R61" i="6" s="1"/>
  <c r="M111" i="6"/>
  <c r="Q111" i="6" s="1"/>
  <c r="N119" i="6"/>
  <c r="R119" i="6" s="1"/>
  <c r="N123" i="6"/>
  <c r="R123" i="6" s="1"/>
  <c r="N91" i="6"/>
  <c r="R91" i="6" s="1"/>
  <c r="N59" i="6"/>
  <c r="R59" i="6" s="1"/>
  <c r="N27" i="6"/>
  <c r="R27" i="6" s="1"/>
  <c r="M107" i="6"/>
  <c r="Q107" i="6" s="1"/>
  <c r="M43" i="6"/>
  <c r="Q43" i="6" s="1"/>
  <c r="N109" i="6"/>
  <c r="R109" i="6" s="1"/>
  <c r="N37" i="6"/>
  <c r="R37" i="6" s="1"/>
  <c r="M63" i="6"/>
  <c r="Q63" i="6" s="1"/>
  <c r="N87" i="6"/>
  <c r="R87" i="6" s="1"/>
  <c r="M131" i="6"/>
  <c r="Q131" i="6" s="1"/>
  <c r="M115" i="6"/>
  <c r="Q115" i="6" s="1"/>
  <c r="M83" i="6"/>
  <c r="Q83" i="6" s="1"/>
  <c r="M19" i="6"/>
  <c r="Q19" i="6" s="1"/>
  <c r="O119" i="6"/>
  <c r="S119" i="6" s="1"/>
  <c r="O103" i="6"/>
  <c r="S103" i="6" s="1"/>
  <c r="O87" i="6"/>
  <c r="S87" i="6" s="1"/>
  <c r="O71" i="6"/>
  <c r="S71" i="6" s="1"/>
  <c r="O55" i="6"/>
  <c r="S55" i="6" s="1"/>
  <c r="O39" i="6"/>
  <c r="S39" i="6" s="1"/>
  <c r="O23" i="6"/>
  <c r="S23" i="6" s="1"/>
  <c r="M132" i="6"/>
  <c r="Q132" i="6" s="1"/>
  <c r="M100" i="6"/>
  <c r="Q100" i="6" s="1"/>
  <c r="M68" i="6"/>
  <c r="Q68" i="6" s="1"/>
  <c r="M52" i="6"/>
  <c r="Q52" i="6" s="1"/>
  <c r="M20" i="6"/>
  <c r="Q20" i="6" s="1"/>
  <c r="O126" i="6"/>
  <c r="S126" i="6" s="1"/>
  <c r="O110" i="6"/>
  <c r="S110" i="6" s="1"/>
  <c r="O94" i="6"/>
  <c r="S94" i="6" s="1"/>
  <c r="O78" i="6"/>
  <c r="S78" i="6" s="1"/>
  <c r="O62" i="6"/>
  <c r="S62" i="6" s="1"/>
  <c r="O46" i="6"/>
  <c r="S46" i="6" s="1"/>
  <c r="O30" i="6"/>
  <c r="S30" i="6" s="1"/>
  <c r="O14" i="6"/>
  <c r="S14" i="6" s="1"/>
  <c r="M114" i="6"/>
  <c r="Q114" i="6" s="1"/>
  <c r="M82" i="6"/>
  <c r="Q82" i="6" s="1"/>
  <c r="M50" i="6"/>
  <c r="Q50" i="6" s="1"/>
  <c r="M18" i="6"/>
  <c r="Q18" i="6" s="1"/>
  <c r="N124" i="6"/>
  <c r="R124" i="6" s="1"/>
  <c r="N108" i="6"/>
  <c r="R108" i="6" s="1"/>
  <c r="N92" i="6"/>
  <c r="R92" i="6" s="1"/>
  <c r="N76" i="6"/>
  <c r="R76" i="6" s="1"/>
  <c r="N60" i="6"/>
  <c r="R60" i="6" s="1"/>
  <c r="N44" i="6"/>
  <c r="R44" i="6" s="1"/>
  <c r="N28" i="6"/>
  <c r="R28" i="6" s="1"/>
  <c r="N12" i="6"/>
  <c r="R12" i="6" s="1"/>
  <c r="M109" i="6"/>
  <c r="Q109" i="6" s="1"/>
  <c r="M77" i="6"/>
  <c r="Q77" i="6" s="1"/>
  <c r="M45" i="6"/>
  <c r="Q45" i="6" s="1"/>
  <c r="N113" i="6"/>
  <c r="R113" i="6" s="1"/>
  <c r="N49" i="6"/>
  <c r="R49" i="6" s="1"/>
  <c r="M87" i="6"/>
  <c r="Q87" i="6" s="1"/>
  <c r="N85" i="6"/>
  <c r="R85" i="6" s="1"/>
  <c r="M31" i="6"/>
  <c r="Q31" i="6" s="1"/>
  <c r="N107" i="6"/>
  <c r="R107" i="6" s="1"/>
  <c r="N43" i="6"/>
  <c r="R43" i="6" s="1"/>
  <c r="N11" i="6"/>
  <c r="R11" i="6" s="1"/>
  <c r="M11" i="6"/>
  <c r="Q11" i="6" s="1"/>
  <c r="M127" i="6"/>
  <c r="Q127" i="6" s="1"/>
  <c r="N79" i="6"/>
  <c r="R79" i="6" s="1"/>
  <c r="O121" i="6"/>
  <c r="S121" i="6" s="1"/>
  <c r="O105" i="6"/>
  <c r="S105" i="6" s="1"/>
  <c r="O89" i="6"/>
  <c r="S89" i="6" s="1"/>
  <c r="O73" i="6"/>
  <c r="S73" i="6" s="1"/>
  <c r="O57" i="6"/>
  <c r="S57" i="6" s="1"/>
  <c r="O41" i="6"/>
  <c r="S41" i="6" s="1"/>
  <c r="O25" i="6"/>
  <c r="S25" i="6" s="1"/>
  <c r="O9" i="6"/>
  <c r="S9" i="6" s="1"/>
  <c r="M104" i="6"/>
  <c r="Q104" i="6" s="1"/>
  <c r="M72" i="6"/>
  <c r="Q72" i="6" s="1"/>
  <c r="M40" i="6"/>
  <c r="Q40" i="6" s="1"/>
  <c r="M24" i="6"/>
  <c r="Q24" i="6" s="1"/>
  <c r="O128" i="6"/>
  <c r="S128" i="6" s="1"/>
  <c r="O112" i="6"/>
  <c r="S112" i="6" s="1"/>
  <c r="O96" i="6"/>
  <c r="S96" i="6" s="1"/>
  <c r="O80" i="6"/>
  <c r="S80" i="6" s="1"/>
  <c r="O64" i="6"/>
  <c r="S64" i="6" s="1"/>
  <c r="O48" i="6"/>
  <c r="S48" i="6" s="1"/>
  <c r="O32" i="6"/>
  <c r="S32" i="6" s="1"/>
  <c r="O16" i="6"/>
  <c r="S16" i="6" s="1"/>
  <c r="M118" i="6"/>
  <c r="Q118" i="6" s="1"/>
  <c r="M86" i="6"/>
  <c r="Q86" i="6" s="1"/>
  <c r="M54" i="6"/>
  <c r="Q54" i="6" s="1"/>
  <c r="M22" i="6"/>
  <c r="Q22" i="6" s="1"/>
  <c r="N126" i="6"/>
  <c r="R126" i="6" s="1"/>
  <c r="N110" i="6"/>
  <c r="R110" i="6" s="1"/>
  <c r="N94" i="6"/>
  <c r="R94" i="6" s="1"/>
  <c r="N78" i="6"/>
  <c r="R78" i="6" s="1"/>
  <c r="N62" i="6"/>
  <c r="R62" i="6" s="1"/>
  <c r="N46" i="6"/>
  <c r="R46" i="6" s="1"/>
  <c r="N30" i="6"/>
  <c r="R30" i="6" s="1"/>
  <c r="N14" i="6"/>
  <c r="R14" i="6" s="1"/>
  <c r="M113" i="6"/>
  <c r="Q113" i="6" s="1"/>
  <c r="M81" i="6"/>
  <c r="Q81" i="6" s="1"/>
  <c r="M49" i="6"/>
  <c r="Q49" i="6" s="1"/>
  <c r="M17" i="6"/>
  <c r="Q17" i="6" s="1"/>
  <c r="N89" i="6"/>
  <c r="R89" i="6" s="1"/>
  <c r="N25" i="6"/>
  <c r="R25" i="6" s="1"/>
  <c r="M39" i="6"/>
  <c r="Q39" i="6" s="1"/>
  <c r="N45" i="6"/>
  <c r="R45" i="6" s="1"/>
  <c r="N111" i="6"/>
  <c r="R111" i="6" s="1"/>
  <c r="N83" i="6"/>
  <c r="R83" i="6" s="1"/>
  <c r="N19" i="6"/>
  <c r="R19" i="6" s="1"/>
  <c r="M27" i="6"/>
  <c r="Q27" i="6" s="1"/>
  <c r="N15" i="6"/>
  <c r="R15" i="6" s="1"/>
  <c r="O125" i="6"/>
  <c r="S125" i="6" s="1"/>
  <c r="O117" i="6"/>
  <c r="S117" i="6" s="1"/>
  <c r="O109" i="6"/>
  <c r="S109" i="6" s="1"/>
  <c r="O101" i="6"/>
  <c r="S101" i="6" s="1"/>
  <c r="O93" i="6"/>
  <c r="S93" i="6" s="1"/>
  <c r="O85" i="6"/>
  <c r="S85" i="6" s="1"/>
  <c r="O77" i="6"/>
  <c r="S77" i="6" s="1"/>
  <c r="O69" i="6"/>
  <c r="S69" i="6" s="1"/>
  <c r="O61" i="6"/>
  <c r="S61" i="6" s="1"/>
  <c r="O53" i="6"/>
  <c r="S53" i="6" s="1"/>
  <c r="O45" i="6"/>
  <c r="S45" i="6" s="1"/>
  <c r="O37" i="6"/>
  <c r="S37" i="6" s="1"/>
  <c r="O29" i="6"/>
  <c r="S29" i="6" s="1"/>
  <c r="O21" i="6"/>
  <c r="S21" i="6" s="1"/>
  <c r="O13" i="6"/>
  <c r="S13" i="6" s="1"/>
  <c r="M128" i="6"/>
  <c r="Q128" i="6" s="1"/>
  <c r="M112" i="6"/>
  <c r="Q112" i="6" s="1"/>
  <c r="M96" i="6"/>
  <c r="Q96" i="6" s="1"/>
  <c r="M80" i="6"/>
  <c r="Q80" i="6" s="1"/>
  <c r="M64" i="6"/>
  <c r="Q64" i="6" s="1"/>
  <c r="M48" i="6"/>
  <c r="Q48" i="6" s="1"/>
  <c r="M32" i="6"/>
  <c r="Q32" i="6" s="1"/>
  <c r="M16" i="6"/>
  <c r="Q16" i="6" s="1"/>
  <c r="O132" i="6"/>
  <c r="S132" i="6" s="1"/>
  <c r="O124" i="6"/>
  <c r="S124" i="6" s="1"/>
  <c r="O116" i="6"/>
  <c r="S116" i="6" s="1"/>
  <c r="O108" i="6"/>
  <c r="S108" i="6" s="1"/>
  <c r="O100" i="6"/>
  <c r="S100" i="6" s="1"/>
  <c r="O92" i="6"/>
  <c r="S92" i="6" s="1"/>
  <c r="O84" i="6"/>
  <c r="S84" i="6" s="1"/>
  <c r="O76" i="6"/>
  <c r="S76" i="6" s="1"/>
  <c r="O68" i="6"/>
  <c r="S68" i="6" s="1"/>
  <c r="O60" i="6"/>
  <c r="S60" i="6" s="1"/>
  <c r="O52" i="6"/>
  <c r="S52" i="6" s="1"/>
  <c r="O44" i="6"/>
  <c r="S44" i="6" s="1"/>
  <c r="O36" i="6"/>
  <c r="S36" i="6" s="1"/>
  <c r="O28" i="6"/>
  <c r="S28" i="6" s="1"/>
  <c r="O20" i="6"/>
  <c r="S20" i="6" s="1"/>
  <c r="O12" i="6"/>
  <c r="S12" i="6" s="1"/>
  <c r="M126" i="6"/>
  <c r="Q126" i="6" s="1"/>
  <c r="M110" i="6"/>
  <c r="Q110" i="6" s="1"/>
  <c r="M94" i="6"/>
  <c r="Q94" i="6" s="1"/>
  <c r="M78" i="6"/>
  <c r="Q78" i="6" s="1"/>
  <c r="M62" i="6"/>
  <c r="Q62" i="6" s="1"/>
  <c r="M46" i="6"/>
  <c r="Q46" i="6" s="1"/>
  <c r="M30" i="6"/>
  <c r="Q30" i="6" s="1"/>
  <c r="M14" i="6"/>
  <c r="Q14" i="6" s="1"/>
  <c r="N130" i="6"/>
  <c r="R130" i="6" s="1"/>
  <c r="N122" i="6"/>
  <c r="R122" i="6" s="1"/>
  <c r="N114" i="6"/>
  <c r="R114" i="6" s="1"/>
  <c r="N106" i="6"/>
  <c r="R106" i="6" s="1"/>
  <c r="N98" i="6"/>
  <c r="R98" i="6" s="1"/>
  <c r="N90" i="6"/>
  <c r="R90" i="6" s="1"/>
  <c r="N82" i="6"/>
  <c r="R82" i="6" s="1"/>
  <c r="N74" i="6"/>
  <c r="R74" i="6" s="1"/>
  <c r="N66" i="6"/>
  <c r="R66" i="6" s="1"/>
  <c r="N58" i="6"/>
  <c r="R58" i="6" s="1"/>
  <c r="N50" i="6"/>
  <c r="R50" i="6" s="1"/>
  <c r="N42" i="6"/>
  <c r="R42" i="6" s="1"/>
  <c r="N34" i="6"/>
  <c r="R34" i="6" s="1"/>
  <c r="N26" i="6"/>
  <c r="R26" i="6" s="1"/>
  <c r="N18" i="6"/>
  <c r="R18" i="6" s="1"/>
  <c r="N10" i="6"/>
  <c r="R10" i="6" s="1"/>
  <c r="M121" i="6"/>
  <c r="Q121" i="6" s="1"/>
  <c r="M105" i="6"/>
  <c r="Q105" i="6" s="1"/>
  <c r="M89" i="6"/>
  <c r="Q89" i="6" s="1"/>
  <c r="M73" i="6"/>
  <c r="Q73" i="6" s="1"/>
  <c r="M57" i="6"/>
  <c r="Q57" i="6" s="1"/>
  <c r="M41" i="6"/>
  <c r="Q41" i="6" s="1"/>
  <c r="M25" i="6"/>
  <c r="Q25" i="6" s="1"/>
  <c r="M9" i="6"/>
  <c r="Q9" i="6" s="1"/>
  <c r="N105" i="6"/>
  <c r="R105" i="6" s="1"/>
  <c r="N73" i="6"/>
  <c r="R73" i="6" s="1"/>
  <c r="N41" i="6"/>
  <c r="R41" i="6" s="1"/>
  <c r="N9" i="6"/>
  <c r="R9" i="6" s="1"/>
  <c r="M71" i="6"/>
  <c r="Q71" i="6" s="1"/>
  <c r="N133" i="6"/>
  <c r="R133" i="6" s="1"/>
  <c r="N77" i="6"/>
  <c r="R77" i="6" s="1"/>
  <c r="N13" i="6"/>
  <c r="R13" i="6" s="1"/>
  <c r="N127" i="6"/>
  <c r="R127" i="6" s="1"/>
  <c r="N131" i="6"/>
  <c r="R131" i="6" s="1"/>
  <c r="N99" i="6"/>
  <c r="R99" i="6" s="1"/>
  <c r="N67" i="6"/>
  <c r="R67" i="6" s="1"/>
  <c r="N35" i="6"/>
  <c r="R35" i="6" s="1"/>
  <c r="M123" i="6"/>
  <c r="Q123" i="6" s="1"/>
  <c r="M59" i="6"/>
  <c r="Q59" i="6" s="1"/>
  <c r="N125" i="6"/>
  <c r="R125" i="6" s="1"/>
  <c r="N53" i="6"/>
  <c r="R53" i="6" s="1"/>
  <c r="M95" i="6"/>
  <c r="Q95" i="6" s="1"/>
  <c r="O133" i="6"/>
  <c r="S133" i="6" s="1"/>
  <c r="M67" i="6"/>
  <c r="Q67" i="6" s="1"/>
  <c r="M51" i="6"/>
  <c r="Q51" i="6" s="1"/>
  <c r="N95" i="6"/>
  <c r="R95" i="6" s="1"/>
  <c r="N55" i="6"/>
  <c r="R55" i="6" s="1"/>
  <c r="C15" i="6"/>
  <c r="E14" i="6"/>
  <c r="T14" i="6" s="1"/>
  <c r="B14" i="2"/>
  <c r="N12" i="1"/>
  <c r="E36" i="3" s="1"/>
  <c r="N30" i="1"/>
  <c r="B9" i="2"/>
  <c r="F36" i="2" s="1"/>
  <c r="B9" i="4"/>
  <c r="F36" i="4" s="1"/>
  <c r="T44" i="1" l="1"/>
  <c r="H42" i="1" s="1"/>
  <c r="E32" i="3"/>
  <c r="B24" i="2"/>
  <c r="E34" i="3"/>
  <c r="P14" i="6"/>
  <c r="H15" i="6"/>
  <c r="B24" i="4"/>
  <c r="N32" i="1"/>
  <c r="C16" i="6"/>
  <c r="E15" i="6"/>
  <c r="T15" i="6" s="1"/>
  <c r="F38" i="2"/>
  <c r="F42" i="2" s="1"/>
  <c r="F37" i="2"/>
  <c r="F41" i="2" s="1"/>
  <c r="F40" i="2"/>
  <c r="F40" i="4"/>
  <c r="F37" i="4"/>
  <c r="F41" i="4" s="1"/>
  <c r="F38" i="4"/>
  <c r="F42" i="4" s="1"/>
  <c r="B25" i="4"/>
  <c r="B25" i="2"/>
  <c r="T18" i="1"/>
  <c r="B8" i="4"/>
  <c r="S10" i="1"/>
  <c r="B8" i="2"/>
  <c r="B26" i="2" l="1"/>
  <c r="C24" i="2" s="1"/>
  <c r="B10" i="2" s="1"/>
  <c r="B5" i="2" s="1"/>
  <c r="D32" i="3"/>
  <c r="F32" i="3"/>
  <c r="H16" i="6"/>
  <c r="P15" i="6"/>
  <c r="B26" i="4"/>
  <c r="C24" i="4" s="1"/>
  <c r="B10" i="4" s="1"/>
  <c r="B5" i="4" s="1"/>
  <c r="C17" i="6"/>
  <c r="E16" i="6"/>
  <c r="T16" i="6" s="1"/>
  <c r="B17" i="2"/>
  <c r="B20" i="2" s="1"/>
  <c r="D16" i="3" s="1"/>
  <c r="B17" i="4"/>
  <c r="H17" i="6" l="1"/>
  <c r="P16" i="6"/>
  <c r="C18" i="6"/>
  <c r="E17" i="6"/>
  <c r="T17" i="6" s="1"/>
  <c r="F16" i="4"/>
  <c r="F22" i="4" s="1"/>
  <c r="F12" i="4"/>
  <c r="E19" i="3"/>
  <c r="E22" i="3" s="1"/>
  <c r="J16" i="4"/>
  <c r="E3" i="2"/>
  <c r="H8" i="3" s="1"/>
  <c r="D14" i="3"/>
  <c r="E3" i="4"/>
  <c r="H9" i="3" s="1"/>
  <c r="E14" i="3"/>
  <c r="F16" i="2"/>
  <c r="F22" i="2" s="1"/>
  <c r="F12" i="2"/>
  <c r="D19" i="3"/>
  <c r="J16" i="2"/>
  <c r="B20" i="4"/>
  <c r="E16" i="3" s="1"/>
  <c r="G16" i="3" s="1"/>
  <c r="D22" i="3" l="1"/>
  <c r="E38" i="3" s="1"/>
  <c r="H18" i="6"/>
  <c r="P17" i="6"/>
  <c r="C19" i="6"/>
  <c r="E18" i="6"/>
  <c r="T18" i="6" s="1"/>
  <c r="J18" i="2"/>
  <c r="J17" i="2"/>
  <c r="J18" i="4"/>
  <c r="J17" i="4"/>
  <c r="F23" i="4"/>
  <c r="F27" i="4" s="1"/>
  <c r="F26" i="4"/>
  <c r="F23" i="2"/>
  <c r="F27" i="2" s="1"/>
  <c r="F26" i="2"/>
  <c r="F18" i="2"/>
  <c r="F17" i="2"/>
  <c r="F18" i="4"/>
  <c r="F17" i="4"/>
  <c r="L24" i="3"/>
  <c r="D25" i="3" s="1"/>
  <c r="E37" i="3" s="1"/>
  <c r="M24" i="3"/>
  <c r="E25" i="3" s="1"/>
  <c r="F37" i="3" l="1"/>
  <c r="D37" i="3"/>
  <c r="F38" i="3"/>
  <c r="D38" i="3"/>
  <c r="H19" i="6"/>
  <c r="P18" i="6"/>
  <c r="C20" i="6"/>
  <c r="E19" i="6"/>
  <c r="T19" i="6" s="1"/>
  <c r="F29" i="2"/>
  <c r="D20" i="3" s="1"/>
  <c r="F19" i="2"/>
  <c r="F20" i="2" s="1"/>
  <c r="D17" i="3"/>
  <c r="J22" i="2"/>
  <c r="F29" i="4"/>
  <c r="E20" i="3" s="1"/>
  <c r="F19" i="4"/>
  <c r="F20" i="4" s="1"/>
  <c r="J29" i="4"/>
  <c r="M25" i="3" s="1"/>
  <c r="E26" i="3" s="1"/>
  <c r="J19" i="4"/>
  <c r="J20" i="4" s="1"/>
  <c r="J29" i="2"/>
  <c r="L25" i="3" s="1"/>
  <c r="D26" i="3" s="1"/>
  <c r="J19" i="2"/>
  <c r="J20" i="2" s="1"/>
  <c r="E17" i="3"/>
  <c r="J22" i="4"/>
  <c r="H20" i="6" l="1"/>
  <c r="P19" i="6"/>
  <c r="C21" i="6"/>
  <c r="E20" i="6"/>
  <c r="T20" i="6" s="1"/>
  <c r="G20" i="3"/>
  <c r="G26" i="3"/>
  <c r="J23" i="4"/>
  <c r="J27" i="4" s="1"/>
  <c r="J26" i="4"/>
  <c r="J23" i="2"/>
  <c r="J27" i="2" s="1"/>
  <c r="J26" i="2"/>
  <c r="H21" i="6" l="1"/>
  <c r="P20" i="6"/>
  <c r="C22" i="6"/>
  <c r="E21" i="6"/>
  <c r="T21" i="6" s="1"/>
  <c r="H22" i="6" l="1"/>
  <c r="P21" i="6"/>
  <c r="C23" i="6"/>
  <c r="E22" i="6"/>
  <c r="T22" i="6" s="1"/>
  <c r="H23" i="6" l="1"/>
  <c r="P22" i="6"/>
  <c r="C24" i="6"/>
  <c r="E23" i="6"/>
  <c r="T23" i="6" s="1"/>
  <c r="H24" i="6" l="1"/>
  <c r="P23" i="6"/>
  <c r="C25" i="6"/>
  <c r="E24" i="6"/>
  <c r="T24" i="6" s="1"/>
  <c r="H25" i="6" l="1"/>
  <c r="P24" i="6"/>
  <c r="C26" i="6"/>
  <c r="E25" i="6"/>
  <c r="T25" i="6" s="1"/>
  <c r="H26" i="6" l="1"/>
  <c r="P25" i="6"/>
  <c r="C27" i="6"/>
  <c r="E26" i="6"/>
  <c r="T26" i="6" s="1"/>
  <c r="H27" i="6" l="1"/>
  <c r="P26" i="6"/>
  <c r="C28" i="6"/>
  <c r="E27" i="6"/>
  <c r="T27" i="6" s="1"/>
  <c r="H28" i="6" l="1"/>
  <c r="P27" i="6"/>
  <c r="C29" i="6"/>
  <c r="E28" i="6"/>
  <c r="T28" i="6" s="1"/>
  <c r="H29" i="6" l="1"/>
  <c r="P28" i="6"/>
  <c r="C30" i="6"/>
  <c r="E29" i="6"/>
  <c r="T29" i="6" s="1"/>
  <c r="H30" i="6" l="1"/>
  <c r="P29" i="6"/>
  <c r="C31" i="6"/>
  <c r="E30" i="6"/>
  <c r="T30" i="6" s="1"/>
  <c r="H31" i="6" l="1"/>
  <c r="P30" i="6"/>
  <c r="C32" i="6"/>
  <c r="E31" i="6"/>
  <c r="T31" i="6" s="1"/>
  <c r="H32" i="6" l="1"/>
  <c r="P31" i="6"/>
  <c r="C33" i="6"/>
  <c r="E32" i="6"/>
  <c r="T32" i="6" s="1"/>
  <c r="H33" i="6" l="1"/>
  <c r="P32" i="6"/>
  <c r="C34" i="6"/>
  <c r="E34" i="6" s="1"/>
  <c r="T34" i="6" s="1"/>
  <c r="E33" i="6"/>
  <c r="T33" i="6" s="1"/>
  <c r="H34" i="6" l="1"/>
  <c r="P33" i="6"/>
  <c r="H35" i="6" l="1"/>
  <c r="P34" i="6"/>
  <c r="H36" i="6" l="1"/>
  <c r="P35" i="6"/>
  <c r="H37" i="6" l="1"/>
  <c r="P36" i="6"/>
  <c r="H38" i="6" l="1"/>
  <c r="P37" i="6"/>
  <c r="H39" i="6" l="1"/>
  <c r="P38" i="6"/>
  <c r="H40" i="6" l="1"/>
  <c r="P39" i="6"/>
  <c r="H41" i="6" l="1"/>
  <c r="P40" i="6"/>
  <c r="H42" i="6" l="1"/>
  <c r="P41" i="6"/>
  <c r="H43" i="6" l="1"/>
  <c r="P42" i="6"/>
  <c r="H44" i="6" l="1"/>
  <c r="P43" i="6"/>
  <c r="H45" i="6" l="1"/>
  <c r="P44" i="6"/>
  <c r="H46" i="6" l="1"/>
  <c r="P45" i="6"/>
  <c r="H47" i="6" l="1"/>
  <c r="P46" i="6"/>
  <c r="H48" i="6" l="1"/>
  <c r="P47" i="6"/>
  <c r="H49" i="6" l="1"/>
  <c r="P48" i="6"/>
  <c r="H50" i="6" l="1"/>
  <c r="P49" i="6"/>
  <c r="H51" i="6" l="1"/>
  <c r="P50" i="6"/>
  <c r="H52" i="6" l="1"/>
  <c r="P51" i="6"/>
  <c r="H53" i="6" l="1"/>
  <c r="P52" i="6"/>
  <c r="H54" i="6" l="1"/>
  <c r="P53" i="6"/>
  <c r="H55" i="6" l="1"/>
  <c r="P54" i="6"/>
  <c r="H56" i="6" l="1"/>
  <c r="P55" i="6"/>
  <c r="H57" i="6" l="1"/>
  <c r="P56" i="6"/>
  <c r="H58" i="6" l="1"/>
  <c r="P57" i="6"/>
  <c r="H59" i="6" l="1"/>
  <c r="P58" i="6"/>
  <c r="H60" i="6" l="1"/>
  <c r="P59" i="6"/>
  <c r="H61" i="6" l="1"/>
  <c r="P60" i="6"/>
  <c r="H62" i="6" l="1"/>
  <c r="P61" i="6"/>
  <c r="H63" i="6" l="1"/>
  <c r="P62" i="6"/>
  <c r="H64" i="6" l="1"/>
  <c r="P63" i="6"/>
  <c r="H65" i="6" l="1"/>
  <c r="P64" i="6"/>
  <c r="H66" i="6" l="1"/>
  <c r="P65" i="6"/>
  <c r="H67" i="6" l="1"/>
  <c r="P66" i="6"/>
  <c r="H68" i="6" l="1"/>
  <c r="P67" i="6"/>
  <c r="H69" i="6" l="1"/>
  <c r="P68" i="6"/>
  <c r="H70" i="6" l="1"/>
  <c r="P69" i="6"/>
  <c r="H71" i="6" l="1"/>
  <c r="P70" i="6"/>
  <c r="H72" i="6" l="1"/>
  <c r="P71" i="6"/>
  <c r="H73" i="6" l="1"/>
  <c r="P72" i="6"/>
  <c r="H74" i="6" l="1"/>
  <c r="P73" i="6"/>
  <c r="H75" i="6" l="1"/>
  <c r="P74" i="6"/>
  <c r="H76" i="6" l="1"/>
  <c r="P75" i="6"/>
  <c r="H77" i="6" l="1"/>
  <c r="P76" i="6"/>
  <c r="H78" i="6" l="1"/>
  <c r="P77" i="6"/>
  <c r="H79" i="6" l="1"/>
  <c r="P78" i="6"/>
  <c r="H80" i="6" l="1"/>
  <c r="P79" i="6"/>
  <c r="H81" i="6" l="1"/>
  <c r="P80" i="6"/>
  <c r="H82" i="6" l="1"/>
  <c r="P81" i="6"/>
  <c r="H83" i="6" l="1"/>
  <c r="P82" i="6"/>
  <c r="H84" i="6" l="1"/>
  <c r="P83" i="6"/>
  <c r="H85" i="6" l="1"/>
  <c r="P84" i="6"/>
  <c r="H86" i="6" l="1"/>
  <c r="P85" i="6"/>
  <c r="H87" i="6" l="1"/>
  <c r="P86" i="6"/>
  <c r="H88" i="6" l="1"/>
  <c r="P87" i="6"/>
  <c r="H89" i="6" l="1"/>
  <c r="P88" i="6"/>
  <c r="H90" i="6" l="1"/>
  <c r="P89" i="6"/>
  <c r="H91" i="6" l="1"/>
  <c r="P90" i="6"/>
  <c r="H92" i="6" l="1"/>
  <c r="P91" i="6"/>
  <c r="H93" i="6" l="1"/>
  <c r="P92" i="6"/>
  <c r="H94" i="6" l="1"/>
  <c r="P93" i="6"/>
  <c r="H95" i="6" l="1"/>
  <c r="P94" i="6"/>
  <c r="H96" i="6" l="1"/>
  <c r="P95" i="6"/>
  <c r="H97" i="6" l="1"/>
  <c r="P96" i="6"/>
  <c r="H98" i="6" l="1"/>
  <c r="P97" i="6"/>
  <c r="H99" i="6" l="1"/>
  <c r="P98" i="6"/>
  <c r="H100" i="6" l="1"/>
  <c r="P99" i="6"/>
  <c r="H101" i="6" l="1"/>
  <c r="P100" i="6"/>
  <c r="H102" i="6" l="1"/>
  <c r="P101" i="6"/>
  <c r="H103" i="6" l="1"/>
  <c r="P102" i="6"/>
  <c r="H104" i="6" l="1"/>
  <c r="P103" i="6"/>
  <c r="H105" i="6" l="1"/>
  <c r="P104" i="6"/>
  <c r="H106" i="6" l="1"/>
  <c r="P105" i="6"/>
  <c r="H107" i="6" l="1"/>
  <c r="P106" i="6"/>
  <c r="H108" i="6" l="1"/>
  <c r="P107" i="6"/>
  <c r="H109" i="6" l="1"/>
  <c r="P108" i="6"/>
  <c r="H110" i="6" l="1"/>
  <c r="P109" i="6"/>
  <c r="H111" i="6" l="1"/>
  <c r="P110" i="6"/>
  <c r="H112" i="6" l="1"/>
  <c r="P111" i="6"/>
  <c r="H113" i="6" l="1"/>
  <c r="P112" i="6"/>
  <c r="H114" i="6" l="1"/>
  <c r="P113" i="6"/>
  <c r="H115" i="6" l="1"/>
  <c r="P114" i="6"/>
  <c r="H116" i="6" l="1"/>
  <c r="P115" i="6"/>
  <c r="H117" i="6" l="1"/>
  <c r="P116" i="6"/>
  <c r="H118" i="6" l="1"/>
  <c r="P117" i="6"/>
  <c r="H119" i="6" l="1"/>
  <c r="P118" i="6"/>
  <c r="H120" i="6" l="1"/>
  <c r="P119" i="6"/>
  <c r="H121" i="6" l="1"/>
  <c r="P120" i="6"/>
  <c r="H122" i="6" l="1"/>
  <c r="P121" i="6"/>
  <c r="H123" i="6" l="1"/>
  <c r="P122" i="6"/>
  <c r="H124" i="6" l="1"/>
  <c r="P123" i="6"/>
  <c r="H125" i="6" l="1"/>
  <c r="P124" i="6"/>
  <c r="H126" i="6" l="1"/>
  <c r="P125" i="6"/>
  <c r="H127" i="6" l="1"/>
  <c r="P126" i="6"/>
  <c r="H128" i="6" l="1"/>
  <c r="P127" i="6"/>
  <c r="H129" i="6" l="1"/>
  <c r="P128" i="6"/>
  <c r="H130" i="6" l="1"/>
  <c r="P129" i="6"/>
  <c r="H131" i="6" l="1"/>
  <c r="P130" i="6"/>
  <c r="H132" i="6" l="1"/>
  <c r="P131" i="6"/>
  <c r="H133" i="6" l="1"/>
  <c r="P132" i="6"/>
  <c r="H134" i="6" l="1"/>
  <c r="P134" i="6" s="1"/>
  <c r="P133" i="6"/>
</calcChain>
</file>

<file path=xl/sharedStrings.xml><?xml version="1.0" encoding="utf-8"?>
<sst xmlns="http://schemas.openxmlformats.org/spreadsheetml/2006/main" count="341" uniqueCount="187">
  <si>
    <t>Line Input</t>
  </si>
  <si>
    <t>Maximum Line Voltage</t>
  </si>
  <si>
    <t>Minimum Line Voltage</t>
  </si>
  <si>
    <t>V ac</t>
  </si>
  <si>
    <t>Hz</t>
  </si>
  <si>
    <t xml:space="preserve">Load </t>
  </si>
  <si>
    <t>V dc</t>
  </si>
  <si>
    <t>Line Frequency</t>
  </si>
  <si>
    <t>Architecture</t>
  </si>
  <si>
    <t>Topology</t>
  </si>
  <si>
    <t>Flyback</t>
  </si>
  <si>
    <t>Buck-Boost</t>
  </si>
  <si>
    <t>mA dc</t>
  </si>
  <si>
    <t>Maximum Switching Frequency</t>
  </si>
  <si>
    <t>Calculated Parameters</t>
  </si>
  <si>
    <t>Primary Inductance</t>
  </si>
  <si>
    <t>Maximum Duty Cycle</t>
  </si>
  <si>
    <t>Minimum Duty Cycle</t>
  </si>
  <si>
    <t>Volts</t>
  </si>
  <si>
    <t>uH</t>
  </si>
  <si>
    <t xml:space="preserve">Ripple Current </t>
  </si>
  <si>
    <t xml:space="preserve">Required Area Product </t>
  </si>
  <si>
    <r>
      <t>cm</t>
    </r>
    <r>
      <rPr>
        <b/>
        <vertAlign val="superscript"/>
        <sz val="12"/>
        <rFont val="Times New Roman"/>
        <family val="1"/>
      </rPr>
      <t>4</t>
    </r>
  </si>
  <si>
    <t>Core Area Product</t>
  </si>
  <si>
    <t>Inductor Requirements</t>
  </si>
  <si>
    <t>Core Parameters</t>
  </si>
  <si>
    <t>Inductance</t>
  </si>
  <si>
    <t>Core Area</t>
  </si>
  <si>
    <r>
      <t>cm</t>
    </r>
    <r>
      <rPr>
        <vertAlign val="superscript"/>
        <sz val="10"/>
        <rFont val="Times New Roman"/>
        <family val="1"/>
      </rPr>
      <t>2</t>
    </r>
  </si>
  <si>
    <t>Saturation Current</t>
  </si>
  <si>
    <t>Amps</t>
  </si>
  <si>
    <t>Bobbin Area</t>
  </si>
  <si>
    <t>RMS Current</t>
  </si>
  <si>
    <t>Mean Winding Length</t>
  </si>
  <si>
    <t>cm</t>
  </si>
  <si>
    <t>Target Current Density</t>
  </si>
  <si>
    <r>
      <t>A/cm</t>
    </r>
    <r>
      <rPr>
        <vertAlign val="superscript"/>
        <sz val="10"/>
        <rFont val="Times New Roman"/>
        <family val="1"/>
      </rPr>
      <t>2</t>
    </r>
  </si>
  <si>
    <t>Core Volume</t>
  </si>
  <si>
    <r>
      <t>cm</t>
    </r>
    <r>
      <rPr>
        <vertAlign val="superscript"/>
        <sz val="10"/>
        <rFont val="Times New Roman"/>
        <family val="1"/>
      </rPr>
      <t>3</t>
    </r>
  </si>
  <si>
    <t>Fill Factor</t>
  </si>
  <si>
    <r>
      <t>Wires/in</t>
    </r>
    <r>
      <rPr>
        <vertAlign val="superscript"/>
        <sz val="10"/>
        <rFont val="Times New Roman"/>
        <family val="1"/>
      </rPr>
      <t>2</t>
    </r>
  </si>
  <si>
    <t>Flux Density @ Isat</t>
  </si>
  <si>
    <t>Tesla</t>
  </si>
  <si>
    <t>Mean Path Length</t>
  </si>
  <si>
    <t>Winding Area</t>
  </si>
  <si>
    <t>Mu Relative</t>
  </si>
  <si>
    <t>Wire Crossection Area</t>
  </si>
  <si>
    <t>Required Turns</t>
  </si>
  <si>
    <t>Calculated Current Density</t>
  </si>
  <si>
    <t>Wire Diameter</t>
  </si>
  <si>
    <t>in</t>
  </si>
  <si>
    <r>
      <t>A</t>
    </r>
    <r>
      <rPr>
        <vertAlign val="subscript"/>
        <sz val="10"/>
        <rFont val="Times New Roman"/>
        <family val="1"/>
      </rPr>
      <t>L</t>
    </r>
  </si>
  <si>
    <t>Caution Under 100</t>
  </si>
  <si>
    <t>mm</t>
  </si>
  <si>
    <t>DCR</t>
  </si>
  <si>
    <t>milli-Ohms @ 25C</t>
  </si>
  <si>
    <t>milli-Ohms @ 100C</t>
  </si>
  <si>
    <t>Copper Loss</t>
  </si>
  <si>
    <t>Watts @ 25C</t>
  </si>
  <si>
    <t>Watts @ 100C</t>
  </si>
  <si>
    <t>Wire Gauge</t>
  </si>
  <si>
    <t>AWG</t>
  </si>
  <si>
    <t>Flux Swing</t>
  </si>
  <si>
    <t>P-P Ripple Current</t>
  </si>
  <si>
    <t>P-P Flux</t>
  </si>
  <si>
    <t>Gauss</t>
  </si>
  <si>
    <t>milli-Tesla</t>
  </si>
  <si>
    <t>Peak Flux</t>
  </si>
  <si>
    <t>Loss Factor</t>
  </si>
  <si>
    <r>
      <t>mW/cm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or kW/m</t>
    </r>
    <r>
      <rPr>
        <vertAlign val="superscript"/>
        <sz val="10"/>
        <rFont val="Times New Roman"/>
        <family val="1"/>
      </rPr>
      <t>3</t>
    </r>
  </si>
  <si>
    <t>AC Losses</t>
  </si>
  <si>
    <t>mW</t>
  </si>
  <si>
    <t>Notes:</t>
  </si>
  <si>
    <t>1.  Peak Voltages do not include leakage inductance spike</t>
  </si>
  <si>
    <t xml:space="preserve">Peak Primary Current </t>
  </si>
  <si>
    <t>A RMS</t>
  </si>
  <si>
    <t>Secondary Current</t>
  </si>
  <si>
    <r>
      <t>Vcc Rectifer Voltage</t>
    </r>
    <r>
      <rPr>
        <vertAlign val="superscript"/>
        <sz val="14"/>
        <color indexed="8"/>
        <rFont val="Calibri"/>
        <family val="2"/>
      </rPr>
      <t>1</t>
    </r>
  </si>
  <si>
    <t>Output Capacitance</t>
  </si>
  <si>
    <r>
      <rPr>
        <sz val="14"/>
        <color indexed="8"/>
        <rFont val="Calibri"/>
        <family val="2"/>
      </rPr>
      <t>µ</t>
    </r>
    <r>
      <rPr>
        <sz val="14"/>
        <color indexed="8"/>
        <rFont val="Calibri"/>
        <family val="2"/>
      </rPr>
      <t>H</t>
    </r>
  </si>
  <si>
    <r>
      <rPr>
        <sz val="14"/>
        <color indexed="8"/>
        <rFont val="Calibri"/>
        <family val="2"/>
      </rPr>
      <t>µ</t>
    </r>
    <r>
      <rPr>
        <sz val="14"/>
        <color indexed="8"/>
        <rFont val="Calibri"/>
        <family val="2"/>
      </rPr>
      <t>F</t>
    </r>
  </si>
  <si>
    <t>Ω</t>
  </si>
  <si>
    <t>Primary Current</t>
  </si>
  <si>
    <t>Rsense</t>
  </si>
  <si>
    <t>This Design Guide is intended to aid the designer and is not intended as a guarantee of performance.</t>
  </si>
  <si>
    <t>Designer Input</t>
  </si>
  <si>
    <t>Calculated Results</t>
  </si>
  <si>
    <t>Input Parameters</t>
  </si>
  <si>
    <t>RMS Capacitor Current</t>
  </si>
  <si>
    <t>EE16</t>
  </si>
  <si>
    <t>EE13</t>
  </si>
  <si>
    <t>EP13</t>
  </si>
  <si>
    <t>RM6</t>
  </si>
  <si>
    <t>EFD15</t>
  </si>
  <si>
    <t>EFD20</t>
  </si>
  <si>
    <t>Core</t>
  </si>
  <si>
    <t>Bmax in Tesla</t>
  </si>
  <si>
    <t>Ae</t>
  </si>
  <si>
    <t>Wa</t>
  </si>
  <si>
    <t>PQ2016</t>
  </si>
  <si>
    <t>RM8</t>
  </si>
  <si>
    <t>RM6I</t>
  </si>
  <si>
    <t>RM8I</t>
  </si>
  <si>
    <t>Other</t>
  </si>
  <si>
    <t>Core Selector</t>
  </si>
  <si>
    <t xml:space="preserve">Primary </t>
  </si>
  <si>
    <t>Turns</t>
  </si>
  <si>
    <t xml:space="preserve">Aux Winding </t>
  </si>
  <si>
    <t>Secondary</t>
  </si>
  <si>
    <t>Sec Turns</t>
  </si>
  <si>
    <t>Fit Check</t>
  </si>
  <si>
    <t>Req'd Area Product</t>
  </si>
  <si>
    <t>Available Area Product</t>
  </si>
  <si>
    <r>
      <t>nH/T</t>
    </r>
    <r>
      <rPr>
        <vertAlign val="superscript"/>
        <sz val="14"/>
        <color indexed="8"/>
        <rFont val="Calibri"/>
        <family val="2"/>
      </rPr>
      <t>2</t>
    </r>
  </si>
  <si>
    <r>
      <t>mm</t>
    </r>
    <r>
      <rPr>
        <vertAlign val="superscript"/>
        <sz val="14"/>
        <color indexed="8"/>
        <rFont val="Calibri"/>
        <family val="2"/>
      </rPr>
      <t>4</t>
    </r>
  </si>
  <si>
    <t>Gauge</t>
  </si>
  <si>
    <r>
      <t>A/cm</t>
    </r>
    <r>
      <rPr>
        <vertAlign val="superscript"/>
        <sz val="14"/>
        <color indexed="8"/>
        <rFont val="Calibri"/>
        <family val="2"/>
      </rPr>
      <t>2</t>
    </r>
  </si>
  <si>
    <t>Good Fit</t>
  </si>
  <si>
    <t>Too Small</t>
  </si>
  <si>
    <r>
      <t>Core Area mm</t>
    </r>
    <r>
      <rPr>
        <b/>
        <vertAlign val="superscript"/>
        <sz val="14"/>
        <color indexed="8"/>
        <rFont val="Calibri"/>
        <family val="2"/>
      </rPr>
      <t>2</t>
    </r>
  </si>
  <si>
    <r>
      <t>Window Area mm</t>
    </r>
    <r>
      <rPr>
        <b/>
        <vertAlign val="superscript"/>
        <sz val="14"/>
        <color indexed="8"/>
        <rFont val="Calibri"/>
        <family val="2"/>
      </rPr>
      <t>2</t>
    </r>
  </si>
  <si>
    <r>
      <t>Current Density A/cm</t>
    </r>
    <r>
      <rPr>
        <b/>
        <vertAlign val="superscript"/>
        <sz val="14"/>
        <color indexed="8"/>
        <rFont val="Calibri"/>
        <family val="2"/>
      </rPr>
      <t>2</t>
    </r>
  </si>
  <si>
    <t>Units</t>
  </si>
  <si>
    <t>Pri RMS</t>
  </si>
  <si>
    <t>Sec RMS</t>
  </si>
  <si>
    <r>
      <t>A</t>
    </r>
    <r>
      <rPr>
        <b/>
        <vertAlign val="subscript"/>
        <sz val="14"/>
        <color indexed="8"/>
        <rFont val="Calibri"/>
        <family val="2"/>
      </rPr>
      <t>L</t>
    </r>
  </si>
  <si>
    <t>Pout</t>
  </si>
  <si>
    <t>LED Vf Max</t>
  </si>
  <si>
    <t>LED Vf Min</t>
  </si>
  <si>
    <t>Min Vcc Voltage</t>
  </si>
  <si>
    <t>Vcc Min</t>
  </si>
  <si>
    <t>Vcc Max</t>
  </si>
  <si>
    <t>Max Vcc Voltage</t>
  </si>
  <si>
    <t xml:space="preserve">LED Dynamic Resistance </t>
  </si>
  <si>
    <t>LED Current</t>
  </si>
  <si>
    <t>FET Current</t>
  </si>
  <si>
    <r>
      <t>Peak FET Voltage</t>
    </r>
    <r>
      <rPr>
        <vertAlign val="superscript"/>
        <sz val="14"/>
        <color indexed="8"/>
        <rFont val="Calibri"/>
        <family val="2"/>
      </rPr>
      <t>1</t>
    </r>
  </si>
  <si>
    <r>
      <t>Peak Output Rectifier Voltage</t>
    </r>
    <r>
      <rPr>
        <vertAlign val="superscript"/>
        <sz val="14"/>
        <color indexed="8"/>
        <rFont val="Calibri"/>
        <family val="2"/>
      </rPr>
      <t>1</t>
    </r>
  </si>
  <si>
    <t>Vprim</t>
  </si>
  <si>
    <t>Toff</t>
  </si>
  <si>
    <t>NCL3008X Thermal Foldback Calculator</t>
  </si>
  <si>
    <t>Rtco</t>
  </si>
  <si>
    <r>
      <t>k</t>
    </r>
    <r>
      <rPr>
        <sz val="11"/>
        <color theme="1"/>
        <rFont val="Calibri"/>
        <family val="2"/>
      </rPr>
      <t>Ω</t>
    </r>
  </si>
  <si>
    <t>Isd</t>
  </si>
  <si>
    <t>µA</t>
  </si>
  <si>
    <t>Rtco_trim</t>
  </si>
  <si>
    <t>Temp</t>
  </si>
  <si>
    <t>Coeff</t>
  </si>
  <si>
    <t>Vsd</t>
  </si>
  <si>
    <t>Output Pct</t>
  </si>
  <si>
    <t>TCO</t>
  </si>
  <si>
    <t>Minimum</t>
  </si>
  <si>
    <t>Nominal</t>
  </si>
  <si>
    <t>Maximum</t>
  </si>
  <si>
    <t>TRIAC Dimmable</t>
  </si>
  <si>
    <t>Other than TRIAC Dimmable</t>
  </si>
  <si>
    <t>NCL30085-8 Thermal Foldback Calculator</t>
  </si>
  <si>
    <t>Efficiency Estimate</t>
  </si>
  <si>
    <t>Pin_max</t>
  </si>
  <si>
    <t>Power in Rsense</t>
  </si>
  <si>
    <t>Watts</t>
  </si>
  <si>
    <t>Switch Stress FOM (Ipeak X Vpeak)</t>
  </si>
  <si>
    <t>Optimize for lowest value</t>
  </si>
  <si>
    <t>Primary Saturation Current</t>
  </si>
  <si>
    <t>Primary RMS Current</t>
  </si>
  <si>
    <t>Q</t>
  </si>
  <si>
    <t>Typical</t>
  </si>
  <si>
    <t>Comments</t>
  </si>
  <si>
    <t>Magnetic Design</t>
  </si>
  <si>
    <t>Secondary RMS Current</t>
  </si>
  <si>
    <t>Pri:Sec Turns Ratio</t>
  </si>
  <si>
    <t>Pri:Aux Turns Ratio</t>
  </si>
  <si>
    <t>Recommended</t>
  </si>
  <si>
    <t>Magnetic Specifications</t>
  </si>
  <si>
    <t>µH</t>
  </si>
  <si>
    <t>NCL30085</t>
  </si>
  <si>
    <t>NCL30086</t>
  </si>
  <si>
    <t>Controller</t>
  </si>
  <si>
    <t>NCL30088A/B</t>
  </si>
  <si>
    <t>NCL30088C/D</t>
  </si>
  <si>
    <t>Actual Turns Ratio</t>
  </si>
  <si>
    <t>Target Turns Ratio</t>
  </si>
  <si>
    <t>Dimming</t>
  </si>
  <si>
    <t>Yes</t>
  </si>
  <si>
    <t>No</t>
  </si>
  <si>
    <t>NCL30085/86/88 Design Guide</t>
  </si>
  <si>
    <t>Rev.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</si>
</sst>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3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rgb="FFFF0000"/>
      <name val="Times New Roman"/>
      <family val="1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1" xfId="0" applyFont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0" fontId="15" fillId="0" borderId="1" xfId="0" applyFont="1" applyBorder="1"/>
    <xf numFmtId="9" fontId="15" fillId="4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5" fillId="6" borderId="0" xfId="0" applyFont="1" applyFill="1"/>
    <xf numFmtId="0" fontId="0" fillId="6" borderId="0" xfId="0" applyFill="1" applyBorder="1"/>
    <xf numFmtId="0" fontId="19" fillId="6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14" fontId="20" fillId="6" borderId="0" xfId="0" applyNumberFormat="1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5" fillId="7" borderId="1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49" fontId="17" fillId="0" borderId="0" xfId="0" applyNumberFormat="1" applyFont="1"/>
    <xf numFmtId="49" fontId="14" fillId="0" borderId="0" xfId="0" applyNumberFormat="1" applyFont="1"/>
    <xf numFmtId="0" fontId="23" fillId="0" borderId="1" xfId="0" applyFont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2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" fontId="15" fillId="7" borderId="1" xfId="0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15" fillId="3" borderId="1" xfId="0" applyFont="1" applyFill="1" applyBorder="1" applyAlignment="1" applyProtection="1">
      <alignment horizontal="center"/>
      <protection locked="0"/>
    </xf>
    <xf numFmtId="0" fontId="23" fillId="9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26" fillId="0" borderId="0" xfId="0" applyFont="1"/>
    <xf numFmtId="2" fontId="0" fillId="0" borderId="0" xfId="0" applyNumberFormat="1"/>
    <xf numFmtId="0" fontId="2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5" fontId="15" fillId="4" borderId="1" xfId="0" applyNumberFormat="1" applyFont="1" applyFill="1" applyBorder="1" applyAlignment="1" applyProtection="1">
      <alignment horizontal="center"/>
    </xf>
    <xf numFmtId="0" fontId="27" fillId="0" borderId="0" xfId="0" applyFont="1" applyAlignment="1"/>
    <xf numFmtId="0" fontId="0" fillId="0" borderId="0" xfId="0" applyFill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28" fillId="6" borderId="0" xfId="0" applyFont="1" applyFill="1" applyAlignment="1"/>
    <xf numFmtId="0" fontId="28" fillId="6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9" fillId="6" borderId="0" xfId="0" applyFont="1" applyFill="1" applyAlignment="1"/>
    <xf numFmtId="0" fontId="31" fillId="0" borderId="0" xfId="0" applyFont="1"/>
    <xf numFmtId="0" fontId="27" fillId="0" borderId="0" xfId="0" applyFont="1"/>
    <xf numFmtId="0" fontId="15" fillId="7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 wrapText="1"/>
      <protection locked="0"/>
    </xf>
    <xf numFmtId="9" fontId="15" fillId="3" borderId="1" xfId="0" applyNumberFormat="1" applyFont="1" applyFill="1" applyBorder="1" applyAlignment="1" applyProtection="1">
      <alignment horizontal="center" wrapText="1"/>
      <protection locked="0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19" fillId="12" borderId="4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20" fillId="12" borderId="12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0" fontId="20" fillId="12" borderId="5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12" borderId="3" xfId="0" applyFont="1" applyFill="1" applyBorder="1" applyAlignment="1">
      <alignment horizontal="center"/>
    </xf>
    <xf numFmtId="0" fontId="20" fillId="12" borderId="4" xfId="0" applyFont="1" applyFill="1" applyBorder="1" applyAlignment="1">
      <alignment horizontal="center"/>
    </xf>
    <xf numFmtId="0" fontId="20" fillId="12" borderId="14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/>
    </xf>
    <xf numFmtId="0" fontId="21" fillId="11" borderId="5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14" fontId="20" fillId="12" borderId="9" xfId="0" applyNumberFormat="1" applyFont="1" applyFill="1" applyBorder="1" applyAlignment="1">
      <alignment horizontal="center"/>
    </xf>
    <xf numFmtId="14" fontId="20" fillId="12" borderId="10" xfId="0" applyNumberFormat="1" applyFont="1" applyFill="1" applyBorder="1" applyAlignment="1">
      <alignment horizontal="center"/>
    </xf>
    <xf numFmtId="14" fontId="20" fillId="12" borderId="11" xfId="0" applyNumberFormat="1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1" fillId="11" borderId="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1" xfId="0" applyFont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23" fillId="8" borderId="16" xfId="0" applyFont="1" applyFill="1" applyBorder="1" applyAlignment="1">
      <alignment horizontal="center"/>
    </xf>
    <xf numFmtId="0" fontId="23" fillId="10" borderId="0" xfId="0" applyFont="1" applyFill="1" applyAlignment="1">
      <alignment horizontal="center"/>
    </xf>
    <xf numFmtId="0" fontId="23" fillId="10" borderId="16" xfId="0" applyFont="1" applyFill="1" applyBorder="1" applyAlignment="1">
      <alignment horizontal="center"/>
    </xf>
    <xf numFmtId="0" fontId="25" fillId="9" borderId="6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25" fillId="10" borderId="6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28" fillId="11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05924581174109"/>
          <c:y val="2.9583499371995541E-2"/>
          <c:w val="0.85177507379191164"/>
          <c:h val="0.848523210266336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'TCO Worksheet'!$Q$8</c:f>
              <c:strCache>
                <c:ptCount val="1"/>
                <c:pt idx="0">
                  <c:v>Minimum</c:v>
                </c:pt>
              </c:strCache>
            </c:strRef>
          </c:tx>
          <c:spPr>
            <a:ln w="508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'TCO Worksheet'!$P$9:$P$134</c:f>
              <c:numCache>
                <c:formatCode>General</c:formatCode>
                <c:ptCount val="12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  <c:pt idx="101">
                  <c:v>126</c:v>
                </c:pt>
                <c:pt idx="102">
                  <c:v>127</c:v>
                </c:pt>
                <c:pt idx="103">
                  <c:v>128</c:v>
                </c:pt>
                <c:pt idx="104">
                  <c:v>129</c:v>
                </c:pt>
                <c:pt idx="105">
                  <c:v>130</c:v>
                </c:pt>
                <c:pt idx="106">
                  <c:v>131</c:v>
                </c:pt>
                <c:pt idx="107">
                  <c:v>132</c:v>
                </c:pt>
                <c:pt idx="108">
                  <c:v>133</c:v>
                </c:pt>
                <c:pt idx="109">
                  <c:v>134</c:v>
                </c:pt>
                <c:pt idx="110">
                  <c:v>135</c:v>
                </c:pt>
                <c:pt idx="111">
                  <c:v>136</c:v>
                </c:pt>
                <c:pt idx="112">
                  <c:v>137</c:v>
                </c:pt>
                <c:pt idx="113">
                  <c:v>138</c:v>
                </c:pt>
                <c:pt idx="114">
                  <c:v>139</c:v>
                </c:pt>
                <c:pt idx="115">
                  <c:v>140</c:v>
                </c:pt>
                <c:pt idx="116">
                  <c:v>141</c:v>
                </c:pt>
                <c:pt idx="117">
                  <c:v>142</c:v>
                </c:pt>
                <c:pt idx="118">
                  <c:v>143</c:v>
                </c:pt>
                <c:pt idx="119">
                  <c:v>144</c:v>
                </c:pt>
                <c:pt idx="120">
                  <c:v>145</c:v>
                </c:pt>
                <c:pt idx="121">
                  <c:v>146</c:v>
                </c:pt>
                <c:pt idx="122">
                  <c:v>147</c:v>
                </c:pt>
                <c:pt idx="123">
                  <c:v>148</c:v>
                </c:pt>
                <c:pt idx="124">
                  <c:v>149</c:v>
                </c:pt>
                <c:pt idx="125">
                  <c:v>150</c:v>
                </c:pt>
              </c:numCache>
            </c:numRef>
          </c:xVal>
          <c:yVal>
            <c:numRef>
              <c:f>'TCO Worksheet'!$Q$9:$Q$134</c:f>
              <c:numCache>
                <c:formatCode>General</c:formatCode>
                <c:ptCount val="1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0.9815941119999998</c:v>
                </c:pt>
                <c:pt idx="70">
                  <c:v>0.94260663999999994</c:v>
                </c:pt>
                <c:pt idx="71">
                  <c:v>0.90923596480000013</c:v>
                </c:pt>
                <c:pt idx="72">
                  <c:v>0.87586528959999987</c:v>
                </c:pt>
                <c:pt idx="73">
                  <c:v>0.84249461439999984</c:v>
                </c:pt>
                <c:pt idx="74">
                  <c:v>0.80912393920000003</c:v>
                </c:pt>
                <c:pt idx="75">
                  <c:v>0.775753264</c:v>
                </c:pt>
                <c:pt idx="76">
                  <c:v>0.74707158880000013</c:v>
                </c:pt>
                <c:pt idx="77">
                  <c:v>0.71838991360000004</c:v>
                </c:pt>
                <c:pt idx="78">
                  <c:v>0.68970823840000017</c:v>
                </c:pt>
                <c:pt idx="79">
                  <c:v>0.66102656320000008</c:v>
                </c:pt>
                <c:pt idx="80">
                  <c:v>0.63234488800000022</c:v>
                </c:pt>
                <c:pt idx="81">
                  <c:v>0.60777177711999997</c:v>
                </c:pt>
                <c:pt idx="82">
                  <c:v>0.58319866623999994</c:v>
                </c:pt>
                <c:pt idx="83">
                  <c:v>0.55862555536000014</c:v>
                </c:pt>
                <c:pt idx="84">
                  <c:v>0.53405244448000011</c:v>
                </c:pt>
                <c:pt idx="85">
                  <c:v>0.50947933360000008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'TCO Worksheet'!$R$8</c:f>
              <c:strCache>
                <c:ptCount val="1"/>
                <c:pt idx="0">
                  <c:v>Nominal</c:v>
                </c:pt>
              </c:strCache>
            </c:strRef>
          </c:tx>
          <c:spPr>
            <a:ln w="50800"/>
          </c:spPr>
          <c:marker>
            <c:symbol val="none"/>
          </c:marker>
          <c:xVal>
            <c:numRef>
              <c:f>'TCO Worksheet'!$P$9:$P$134</c:f>
              <c:numCache>
                <c:formatCode>General</c:formatCode>
                <c:ptCount val="12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  <c:pt idx="101">
                  <c:v>126</c:v>
                </c:pt>
                <c:pt idx="102">
                  <c:v>127</c:v>
                </c:pt>
                <c:pt idx="103">
                  <c:v>128</c:v>
                </c:pt>
                <c:pt idx="104">
                  <c:v>129</c:v>
                </c:pt>
                <c:pt idx="105">
                  <c:v>130</c:v>
                </c:pt>
                <c:pt idx="106">
                  <c:v>131</c:v>
                </c:pt>
                <c:pt idx="107">
                  <c:v>132</c:v>
                </c:pt>
                <c:pt idx="108">
                  <c:v>133</c:v>
                </c:pt>
                <c:pt idx="109">
                  <c:v>134</c:v>
                </c:pt>
                <c:pt idx="110">
                  <c:v>135</c:v>
                </c:pt>
                <c:pt idx="111">
                  <c:v>136</c:v>
                </c:pt>
                <c:pt idx="112">
                  <c:v>137</c:v>
                </c:pt>
                <c:pt idx="113">
                  <c:v>138</c:v>
                </c:pt>
                <c:pt idx="114">
                  <c:v>139</c:v>
                </c:pt>
                <c:pt idx="115">
                  <c:v>140</c:v>
                </c:pt>
                <c:pt idx="116">
                  <c:v>141</c:v>
                </c:pt>
                <c:pt idx="117">
                  <c:v>142</c:v>
                </c:pt>
                <c:pt idx="118">
                  <c:v>143</c:v>
                </c:pt>
                <c:pt idx="119">
                  <c:v>144</c:v>
                </c:pt>
                <c:pt idx="120">
                  <c:v>145</c:v>
                </c:pt>
                <c:pt idx="121">
                  <c:v>146</c:v>
                </c:pt>
                <c:pt idx="122">
                  <c:v>147</c:v>
                </c:pt>
                <c:pt idx="123">
                  <c:v>148</c:v>
                </c:pt>
                <c:pt idx="124">
                  <c:v>149</c:v>
                </c:pt>
                <c:pt idx="125">
                  <c:v>150</c:v>
                </c:pt>
              </c:numCache>
            </c:numRef>
          </c:xVal>
          <c:yVal>
            <c:numRef>
              <c:f>'TCO Worksheet'!$R$9:$R$134</c:f>
              <c:numCache>
                <c:formatCode>General</c:formatCode>
                <c:ptCount val="1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0.96579437020000003</c:v>
                </c:pt>
                <c:pt idx="73">
                  <c:v>0.93033802779999997</c:v>
                </c:pt>
                <c:pt idx="74">
                  <c:v>0.89488168540000013</c:v>
                </c:pt>
                <c:pt idx="75">
                  <c:v>0.85942534300000006</c:v>
                </c:pt>
                <c:pt idx="76">
                  <c:v>0.82895106310000033</c:v>
                </c:pt>
                <c:pt idx="77">
                  <c:v>0.79847678319999993</c:v>
                </c:pt>
                <c:pt idx="78">
                  <c:v>0.76800250330000019</c:v>
                </c:pt>
                <c:pt idx="79">
                  <c:v>0.73752822340000002</c:v>
                </c:pt>
                <c:pt idx="80">
                  <c:v>0.70705394350000028</c:v>
                </c:pt>
                <c:pt idx="81">
                  <c:v>0.68094501319000011</c:v>
                </c:pt>
                <c:pt idx="82">
                  <c:v>0.65483608288000017</c:v>
                </c:pt>
                <c:pt idx="83">
                  <c:v>0.62872715257000045</c:v>
                </c:pt>
                <c:pt idx="84">
                  <c:v>0.60261822226000028</c:v>
                </c:pt>
                <c:pt idx="85">
                  <c:v>0.57650929195000011</c:v>
                </c:pt>
                <c:pt idx="86">
                  <c:v>0.55362395535999998</c:v>
                </c:pt>
                <c:pt idx="87">
                  <c:v>0.53073861877000006</c:v>
                </c:pt>
                <c:pt idx="88">
                  <c:v>0.50785328218000014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'TCO Worksheet'!$S$8</c:f>
              <c:strCache>
                <c:ptCount val="1"/>
                <c:pt idx="0">
                  <c:v>Maximum</c:v>
                </c:pt>
              </c:strCache>
            </c:strRef>
          </c:tx>
          <c:spPr>
            <a:ln w="50800">
              <a:prstDash val="dashDot"/>
            </a:ln>
          </c:spPr>
          <c:marker>
            <c:symbol val="none"/>
          </c:marker>
          <c:xVal>
            <c:numRef>
              <c:f>'TCO Worksheet'!$P$9:$P$134</c:f>
              <c:numCache>
                <c:formatCode>General</c:formatCode>
                <c:ptCount val="12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  <c:pt idx="101">
                  <c:v>126</c:v>
                </c:pt>
                <c:pt idx="102">
                  <c:v>127</c:v>
                </c:pt>
                <c:pt idx="103">
                  <c:v>128</c:v>
                </c:pt>
                <c:pt idx="104">
                  <c:v>129</c:v>
                </c:pt>
                <c:pt idx="105">
                  <c:v>130</c:v>
                </c:pt>
                <c:pt idx="106">
                  <c:v>131</c:v>
                </c:pt>
                <c:pt idx="107">
                  <c:v>132</c:v>
                </c:pt>
                <c:pt idx="108">
                  <c:v>133</c:v>
                </c:pt>
                <c:pt idx="109">
                  <c:v>134</c:v>
                </c:pt>
                <c:pt idx="110">
                  <c:v>135</c:v>
                </c:pt>
                <c:pt idx="111">
                  <c:v>136</c:v>
                </c:pt>
                <c:pt idx="112">
                  <c:v>137</c:v>
                </c:pt>
                <c:pt idx="113">
                  <c:v>138</c:v>
                </c:pt>
                <c:pt idx="114">
                  <c:v>139</c:v>
                </c:pt>
                <c:pt idx="115">
                  <c:v>140</c:v>
                </c:pt>
                <c:pt idx="116">
                  <c:v>141</c:v>
                </c:pt>
                <c:pt idx="117">
                  <c:v>142</c:v>
                </c:pt>
                <c:pt idx="118">
                  <c:v>143</c:v>
                </c:pt>
                <c:pt idx="119">
                  <c:v>144</c:v>
                </c:pt>
                <c:pt idx="120">
                  <c:v>145</c:v>
                </c:pt>
                <c:pt idx="121">
                  <c:v>146</c:v>
                </c:pt>
                <c:pt idx="122">
                  <c:v>147</c:v>
                </c:pt>
                <c:pt idx="123">
                  <c:v>148</c:v>
                </c:pt>
                <c:pt idx="124">
                  <c:v>149</c:v>
                </c:pt>
                <c:pt idx="125">
                  <c:v>150</c:v>
                </c:pt>
              </c:numCache>
            </c:numRef>
          </c:xVal>
          <c:yVal>
            <c:numRef>
              <c:f>'TCO Worksheet'!$S$9:$S$134</c:f>
              <c:numCache>
                <c:formatCode>General</c:formatCode>
                <c:ptCount val="1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0.9806394316</c:v>
                </c:pt>
                <c:pt idx="75">
                  <c:v>0.94309742199999991</c:v>
                </c:pt>
                <c:pt idx="76">
                  <c:v>0.91083053740000008</c:v>
                </c:pt>
                <c:pt idx="77">
                  <c:v>0.87856365279999982</c:v>
                </c:pt>
                <c:pt idx="78">
                  <c:v>0.84629676819999999</c:v>
                </c:pt>
                <c:pt idx="79">
                  <c:v>0.81402988359999995</c:v>
                </c:pt>
                <c:pt idx="80">
                  <c:v>0.78176299900000012</c:v>
                </c:pt>
                <c:pt idx="81">
                  <c:v>0.75411824925999982</c:v>
                </c:pt>
                <c:pt idx="82">
                  <c:v>0.72647349951999995</c:v>
                </c:pt>
                <c:pt idx="83">
                  <c:v>0.69882874978000009</c:v>
                </c:pt>
                <c:pt idx="84">
                  <c:v>0.67118400004000001</c:v>
                </c:pt>
                <c:pt idx="85">
                  <c:v>0.64353925029999992</c:v>
                </c:pt>
                <c:pt idx="86">
                  <c:v>0.61930771743999991</c:v>
                </c:pt>
                <c:pt idx="87">
                  <c:v>0.59507618458000011</c:v>
                </c:pt>
                <c:pt idx="88">
                  <c:v>0.57084465171999987</c:v>
                </c:pt>
                <c:pt idx="89">
                  <c:v>0.54661311886000008</c:v>
                </c:pt>
                <c:pt idx="90">
                  <c:v>0.52238158600000006</c:v>
                </c:pt>
                <c:pt idx="91">
                  <c:v>0.50151178479999992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75488"/>
        <c:axId val="109377408"/>
      </c:scatterChart>
      <c:valAx>
        <c:axId val="109375488"/>
        <c:scaling>
          <c:orientation val="minMax"/>
          <c:max val="150"/>
          <c:min val="2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TCO Temperature in °C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377408"/>
        <c:crosses val="autoZero"/>
        <c:crossBetween val="midCat"/>
        <c:majorUnit val="25"/>
      </c:valAx>
      <c:valAx>
        <c:axId val="109377408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Output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09375488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23192201425946871"/>
          <c:y val="0.20625516002136943"/>
          <c:w val="0.28324553737609454"/>
          <c:h val="0.318122289687030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1" i="0" baseline="0"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116416</xdr:colOff>
      <xdr:row>6</xdr:row>
      <xdr:rowOff>21166</xdr:rowOff>
    </xdr:from>
    <xdr:to>
      <xdr:col>13</xdr:col>
      <xdr:colOff>613833</xdr:colOff>
      <xdr:row>31</xdr:row>
      <xdr:rowOff>84665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tabSelected="1" zoomScale="80" zoomScaleNormal="80" workbookViewId="0">
      <selection activeCell="E30" sqref="E30"/>
    </sheetView>
  </sheetViews>
  <sheetFormatPr defaultRowHeight="14.4" x14ac:dyDescent="0.3"/>
  <cols>
    <col min="1" max="1" width="9.6640625" customWidth="1"/>
    <col min="4" max="4" width="10.88671875" customWidth="1"/>
    <col min="5" max="5" width="17.6640625" style="1" customWidth="1"/>
    <col min="6" max="6" width="26.109375" bestFit="1" customWidth="1"/>
    <col min="7" max="7" width="9.6640625" customWidth="1"/>
    <col min="14" max="14" width="10.5546875" bestFit="1" customWidth="1"/>
    <col min="15" max="15" width="25.109375" bestFit="1" customWidth="1"/>
    <col min="16" max="16" width="9.88671875" customWidth="1"/>
    <col min="17" max="17" width="10.77734375" customWidth="1"/>
    <col min="18" max="18" width="8.44140625" customWidth="1"/>
    <col min="19" max="20" width="9.77734375" hidden="1" customWidth="1"/>
    <col min="21" max="21" width="9.21875" hidden="1" customWidth="1"/>
    <col min="22" max="22" width="10.44140625" hidden="1" customWidth="1"/>
  </cols>
  <sheetData>
    <row r="1" spans="1:22" x14ac:dyDescent="0.3">
      <c r="A1" s="32"/>
      <c r="B1" s="32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74"/>
      <c r="R1" s="74"/>
    </row>
    <row r="2" spans="1:22" ht="15" customHeight="1" thickBot="1" x14ac:dyDescent="0.35">
      <c r="A2" s="32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74"/>
      <c r="R2" s="74"/>
    </row>
    <row r="3" spans="1:22" ht="26.4" thickBot="1" x14ac:dyDescent="0.55000000000000004">
      <c r="A3" s="32"/>
      <c r="B3" s="107" t="s">
        <v>185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36"/>
      <c r="Q3" s="75"/>
      <c r="R3" s="75"/>
      <c r="T3" t="s">
        <v>9</v>
      </c>
      <c r="U3">
        <v>50</v>
      </c>
      <c r="V3" t="s">
        <v>154</v>
      </c>
    </row>
    <row r="4" spans="1:22" ht="21.6" thickBot="1" x14ac:dyDescent="0.45">
      <c r="A4" s="32"/>
      <c r="B4" s="117" t="s">
        <v>186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37"/>
      <c r="Q4" s="76"/>
      <c r="R4" s="76"/>
      <c r="U4">
        <v>60</v>
      </c>
      <c r="V4" t="s">
        <v>155</v>
      </c>
    </row>
    <row r="5" spans="1:22" ht="21" x14ac:dyDescent="0.4">
      <c r="A5" s="32"/>
      <c r="B5" s="111">
        <v>41918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  <c r="P5" s="37"/>
      <c r="Q5" s="76"/>
      <c r="R5" s="76"/>
      <c r="T5" t="s">
        <v>10</v>
      </c>
    </row>
    <row r="6" spans="1:22" ht="21" x14ac:dyDescent="0.4">
      <c r="A6" s="32"/>
      <c r="B6" s="114" t="s">
        <v>87</v>
      </c>
      <c r="C6" s="114"/>
      <c r="D6" s="114"/>
      <c r="E6" s="115" t="s">
        <v>14</v>
      </c>
      <c r="F6" s="115"/>
      <c r="G6" s="126" t="s">
        <v>85</v>
      </c>
      <c r="H6" s="126"/>
      <c r="I6" s="126"/>
      <c r="J6" s="126"/>
      <c r="K6" s="126"/>
      <c r="L6" s="116" t="s">
        <v>86</v>
      </c>
      <c r="M6" s="116"/>
      <c r="N6" s="116"/>
      <c r="O6" s="116"/>
      <c r="P6" s="37"/>
      <c r="Q6" s="76"/>
      <c r="R6" s="76"/>
      <c r="T6" t="s">
        <v>11</v>
      </c>
      <c r="V6" s="100" t="s">
        <v>175</v>
      </c>
    </row>
    <row r="7" spans="1:22" ht="21.6" thickBot="1" x14ac:dyDescent="0.45">
      <c r="A7" s="32"/>
      <c r="B7" s="127" t="s">
        <v>84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38"/>
      <c r="Q7" s="77"/>
      <c r="R7" s="77"/>
      <c r="V7" t="s">
        <v>176</v>
      </c>
    </row>
    <row r="8" spans="1:22" ht="15" thickBot="1" x14ac:dyDescent="0.35">
      <c r="A8" s="32"/>
      <c r="B8" s="35"/>
      <c r="C8" s="32"/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4"/>
      <c r="R8" s="74"/>
      <c r="V8" t="s">
        <v>178</v>
      </c>
    </row>
    <row r="9" spans="1:22" ht="23.4" x14ac:dyDescent="0.45">
      <c r="A9" s="32"/>
      <c r="B9" s="120" t="s">
        <v>0</v>
      </c>
      <c r="C9" s="121"/>
      <c r="D9" s="121"/>
      <c r="E9" s="121"/>
      <c r="F9" s="122"/>
      <c r="G9" s="32"/>
      <c r="H9" s="130" t="s">
        <v>14</v>
      </c>
      <c r="I9" s="131"/>
      <c r="J9" s="131"/>
      <c r="K9" s="131"/>
      <c r="L9" s="131"/>
      <c r="M9" s="131"/>
      <c r="N9" s="131"/>
      <c r="O9" s="132"/>
      <c r="P9" s="39"/>
      <c r="Q9" s="78"/>
      <c r="R9" s="78"/>
      <c r="V9" t="s">
        <v>179</v>
      </c>
    </row>
    <row r="10" spans="1:22" ht="18" x14ac:dyDescent="0.35">
      <c r="A10" s="32"/>
      <c r="B10" s="110" t="s">
        <v>1</v>
      </c>
      <c r="C10" s="110"/>
      <c r="D10" s="110"/>
      <c r="E10" s="58">
        <v>305</v>
      </c>
      <c r="F10" s="6" t="str">
        <f>IF(E10&lt;E11,"Max Input Too Low","V ac")</f>
        <v>V ac</v>
      </c>
      <c r="G10" s="32"/>
      <c r="H10" s="110" t="s">
        <v>15</v>
      </c>
      <c r="I10" s="110"/>
      <c r="J10" s="110"/>
      <c r="K10" s="110"/>
      <c r="L10" s="110"/>
      <c r="M10" s="6"/>
      <c r="N10" s="7">
        <f>1000*E10*1.414*N18/(N11*E27)</f>
        <v>763.83325302426636</v>
      </c>
      <c r="O10" s="6" t="s">
        <v>79</v>
      </c>
      <c r="P10" s="32"/>
      <c r="Q10" s="74"/>
      <c r="R10" s="74"/>
      <c r="S10">
        <f>N10*N11*N11</f>
        <v>270.57621038537815</v>
      </c>
    </row>
    <row r="11" spans="1:22" ht="18" x14ac:dyDescent="0.35">
      <c r="A11" s="32"/>
      <c r="B11" s="110" t="s">
        <v>2</v>
      </c>
      <c r="C11" s="110"/>
      <c r="D11" s="110"/>
      <c r="E11" s="58">
        <v>85</v>
      </c>
      <c r="F11" s="6" t="s">
        <v>3</v>
      </c>
      <c r="G11" s="32"/>
      <c r="H11" s="110" t="s">
        <v>74</v>
      </c>
      <c r="I11" s="110"/>
      <c r="J11" s="110"/>
      <c r="K11" s="110"/>
      <c r="L11" s="110"/>
      <c r="M11" s="6"/>
      <c r="N11" s="8">
        <f>T49</f>
        <v>0.59517615627108933</v>
      </c>
      <c r="O11" s="6" t="str">
        <f>IF(N11*N31&gt;1,"See Note 9","A")</f>
        <v>A</v>
      </c>
      <c r="P11" s="32"/>
      <c r="Q11" s="74"/>
      <c r="R11" s="74"/>
      <c r="T11" s="1"/>
    </row>
    <row r="12" spans="1:22" ht="18" x14ac:dyDescent="0.35">
      <c r="A12" s="32"/>
      <c r="B12" s="110" t="s">
        <v>7</v>
      </c>
      <c r="C12" s="110"/>
      <c r="D12" s="110"/>
      <c r="E12" s="58">
        <v>50</v>
      </c>
      <c r="F12" s="6" t="s">
        <v>4</v>
      </c>
      <c r="G12" s="32"/>
      <c r="H12" s="123" t="s">
        <v>76</v>
      </c>
      <c r="I12" s="124"/>
      <c r="J12" s="124"/>
      <c r="K12" s="124"/>
      <c r="L12" s="125"/>
      <c r="M12" s="9"/>
      <c r="N12" s="8">
        <f>N11*T16*SQRT(1-N17)*0.577</f>
        <v>0.79629422206855671</v>
      </c>
      <c r="O12" s="6" t="s">
        <v>75</v>
      </c>
      <c r="P12" s="32"/>
      <c r="Q12" s="74"/>
      <c r="R12" s="74"/>
      <c r="T12" s="1"/>
      <c r="V12" t="s">
        <v>183</v>
      </c>
    </row>
    <row r="13" spans="1:22" ht="18" x14ac:dyDescent="0.35">
      <c r="A13" s="32"/>
      <c r="B13" s="32"/>
      <c r="C13" s="32"/>
      <c r="D13" s="32"/>
      <c r="E13" s="33"/>
      <c r="F13" s="32"/>
      <c r="G13" s="32"/>
      <c r="H13" s="110" t="s">
        <v>82</v>
      </c>
      <c r="I13" s="110"/>
      <c r="J13" s="110"/>
      <c r="K13" s="110"/>
      <c r="L13" s="110"/>
      <c r="M13" s="6"/>
      <c r="N13" s="8">
        <f>N21</f>
        <v>0.21790171662276159</v>
      </c>
      <c r="O13" s="6" t="s">
        <v>75</v>
      </c>
      <c r="P13" s="32"/>
      <c r="Q13" s="74"/>
      <c r="R13" s="74"/>
      <c r="T13" s="1"/>
      <c r="V13" t="s">
        <v>184</v>
      </c>
    </row>
    <row r="14" spans="1:22" ht="23.4" x14ac:dyDescent="0.45">
      <c r="A14" s="32"/>
      <c r="B14" s="133" t="s">
        <v>5</v>
      </c>
      <c r="C14" s="133"/>
      <c r="D14" s="133"/>
      <c r="E14" s="133"/>
      <c r="F14" s="133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74"/>
      <c r="R14" s="74"/>
      <c r="T14" s="1"/>
    </row>
    <row r="15" spans="1:22" ht="18" x14ac:dyDescent="0.35">
      <c r="A15" s="32"/>
      <c r="B15" s="110" t="s">
        <v>128</v>
      </c>
      <c r="C15" s="110"/>
      <c r="D15" s="110"/>
      <c r="E15" s="58">
        <v>27</v>
      </c>
      <c r="F15" s="12" t="s">
        <v>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4"/>
      <c r="R15" s="74"/>
      <c r="T15" s="1"/>
    </row>
    <row r="16" spans="1:22" ht="31.8" x14ac:dyDescent="0.35">
      <c r="A16" s="32"/>
      <c r="B16" s="110" t="s">
        <v>127</v>
      </c>
      <c r="C16" s="110"/>
      <c r="D16" s="110"/>
      <c r="E16" s="58">
        <v>27</v>
      </c>
      <c r="F16" s="12" t="str">
        <f>IF(E15&gt;E16,"Max Vled Too Low","V dc")</f>
        <v>V dc</v>
      </c>
      <c r="G16" s="32"/>
      <c r="H16" s="110" t="s">
        <v>161</v>
      </c>
      <c r="I16" s="110"/>
      <c r="J16" s="110"/>
      <c r="K16" s="110"/>
      <c r="L16" s="110"/>
      <c r="M16" s="9"/>
      <c r="N16" s="7">
        <f>N11*N20</f>
        <v>304.89088957299094</v>
      </c>
      <c r="O16" s="90" t="s">
        <v>162</v>
      </c>
      <c r="P16" s="32"/>
      <c r="Q16" s="74"/>
      <c r="R16" s="74"/>
      <c r="T16" s="1">
        <f>IF(E22="Flyback",E23,1)</f>
        <v>3</v>
      </c>
    </row>
    <row r="17" spans="1:20" ht="18" x14ac:dyDescent="0.35">
      <c r="A17" s="32"/>
      <c r="B17" s="123" t="s">
        <v>134</v>
      </c>
      <c r="C17" s="124"/>
      <c r="D17" s="125"/>
      <c r="E17" s="58">
        <v>240</v>
      </c>
      <c r="F17" s="12" t="s">
        <v>12</v>
      </c>
      <c r="G17" s="32"/>
      <c r="H17" s="123" t="s">
        <v>16</v>
      </c>
      <c r="I17" s="124"/>
      <c r="J17" s="124"/>
      <c r="K17" s="124"/>
      <c r="L17" s="125"/>
      <c r="M17" s="6"/>
      <c r="N17" s="10">
        <f>T16*E16/((T17+(T16*E16)))</f>
        <v>0.40260450320592478</v>
      </c>
      <c r="O17" s="6" t="str">
        <f>IF(N17&gt;T22,"See Note 8","")</f>
        <v/>
      </c>
      <c r="P17" s="32"/>
      <c r="Q17" s="74"/>
      <c r="R17" s="74"/>
      <c r="T17" s="1">
        <f>E11*1.414</f>
        <v>120.19</v>
      </c>
    </row>
    <row r="18" spans="1:20" ht="18" x14ac:dyDescent="0.35">
      <c r="A18" s="32"/>
      <c r="B18" s="123" t="s">
        <v>133</v>
      </c>
      <c r="C18" s="124"/>
      <c r="D18" s="125"/>
      <c r="E18" s="58">
        <v>10</v>
      </c>
      <c r="F18" s="40" t="s">
        <v>81</v>
      </c>
      <c r="G18" s="32"/>
      <c r="H18" s="123" t="s">
        <v>17</v>
      </c>
      <c r="I18" s="124"/>
      <c r="J18" s="124"/>
      <c r="K18" s="124"/>
      <c r="L18" s="125"/>
      <c r="M18" s="6"/>
      <c r="N18" s="10">
        <f>T16*E15/((E10*1.414)+(T16*E15))</f>
        <v>0.15811974154254593</v>
      </c>
      <c r="O18" s="6" t="str">
        <f>IF(N18&lt;7%,"See Note 3","")</f>
        <v/>
      </c>
      <c r="P18" s="32"/>
      <c r="Q18" s="74"/>
      <c r="R18" s="74"/>
      <c r="T18" s="5">
        <f>(N10/T16^2)*N11*T16/(E16+0.7)</f>
        <v>5.4707020405177529</v>
      </c>
    </row>
    <row r="19" spans="1:20" ht="18" x14ac:dyDescent="0.35">
      <c r="A19" s="32"/>
      <c r="B19" s="110" t="s">
        <v>20</v>
      </c>
      <c r="C19" s="110"/>
      <c r="D19" s="110"/>
      <c r="E19" s="58">
        <v>200</v>
      </c>
      <c r="F19" s="12" t="str">
        <f>IF(E19&gt;2*E17,"Ripple Too High","mA P-P")</f>
        <v>mA P-P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4"/>
      <c r="R19" s="74"/>
    </row>
    <row r="20" spans="1:20" ht="20.399999999999999" thickBot="1" x14ac:dyDescent="0.4">
      <c r="A20" s="32"/>
      <c r="B20" s="32"/>
      <c r="C20" s="32"/>
      <c r="D20" s="32"/>
      <c r="E20" s="33"/>
      <c r="F20" s="32"/>
      <c r="G20" s="32"/>
      <c r="H20" s="123" t="s">
        <v>136</v>
      </c>
      <c r="I20" s="124"/>
      <c r="J20" s="124"/>
      <c r="K20" s="124"/>
      <c r="L20" s="125"/>
      <c r="M20" s="6"/>
      <c r="N20" s="7">
        <f>E10*1.414+T16*E16</f>
        <v>512.27</v>
      </c>
      <c r="O20" s="6" t="s">
        <v>18</v>
      </c>
      <c r="P20" s="32"/>
      <c r="Q20" s="74"/>
      <c r="R20" s="74"/>
      <c r="T20">
        <f>IF(E30=V9,0.2,0.25)</f>
        <v>0.25</v>
      </c>
    </row>
    <row r="21" spans="1:20" ht="24" thickBot="1" x14ac:dyDescent="0.5">
      <c r="A21" s="32"/>
      <c r="B21" s="141" t="s">
        <v>8</v>
      </c>
      <c r="C21" s="142"/>
      <c r="D21" s="142"/>
      <c r="E21" s="142"/>
      <c r="F21" s="122"/>
      <c r="G21" s="32"/>
      <c r="H21" s="136" t="s">
        <v>135</v>
      </c>
      <c r="I21" s="137"/>
      <c r="J21" s="137"/>
      <c r="K21" s="137"/>
      <c r="L21" s="138"/>
      <c r="M21" s="9"/>
      <c r="N21" s="8">
        <f>SQRT(N17)*0.577*N11</f>
        <v>0.21790171662276159</v>
      </c>
      <c r="O21" s="6" t="s">
        <v>75</v>
      </c>
      <c r="P21" s="32"/>
      <c r="Q21" s="74"/>
      <c r="R21" s="74"/>
    </row>
    <row r="22" spans="1:20" ht="18" x14ac:dyDescent="0.35">
      <c r="A22" s="32"/>
      <c r="B22" s="139" t="s">
        <v>9</v>
      </c>
      <c r="C22" s="139"/>
      <c r="D22" s="139"/>
      <c r="E22" s="66" t="s">
        <v>10</v>
      </c>
      <c r="F22" s="6"/>
      <c r="G22" s="34"/>
      <c r="H22" s="32"/>
      <c r="I22" s="32"/>
      <c r="J22" s="32"/>
      <c r="K22" s="32"/>
      <c r="L22" s="32"/>
      <c r="M22" s="32"/>
      <c r="N22" s="32"/>
      <c r="O22" s="32"/>
      <c r="P22" s="32"/>
      <c r="Q22" s="74"/>
      <c r="R22" s="74"/>
      <c r="T22">
        <f>IF(E30=V9,60%,50%)</f>
        <v>0.5</v>
      </c>
    </row>
    <row r="23" spans="1:20" ht="19.8" x14ac:dyDescent="0.35">
      <c r="A23" s="32"/>
      <c r="B23" s="110" t="s">
        <v>180</v>
      </c>
      <c r="C23" s="110"/>
      <c r="D23" s="110"/>
      <c r="E23" s="102">
        <f>IF(E22="Buck-Boost",1,E24)</f>
        <v>3</v>
      </c>
      <c r="F23" s="13" t="str">
        <f>IF(E22="Buck-Boost","Turns Ratio Set 1:1","")</f>
        <v/>
      </c>
      <c r="G23" s="34"/>
      <c r="H23" s="123" t="s">
        <v>137</v>
      </c>
      <c r="I23" s="124"/>
      <c r="J23" s="124"/>
      <c r="K23" s="124"/>
      <c r="L23" s="125"/>
      <c r="M23" s="6"/>
      <c r="N23" s="7">
        <f>(E10*1.414/T16)+E16</f>
        <v>170.75666666666666</v>
      </c>
      <c r="O23" s="6" t="s">
        <v>18</v>
      </c>
      <c r="P23" s="32"/>
      <c r="Q23" s="74"/>
      <c r="R23" s="74"/>
    </row>
    <row r="24" spans="1:20" ht="18" x14ac:dyDescent="0.35">
      <c r="A24" s="32"/>
      <c r="B24" s="140" t="s">
        <v>181</v>
      </c>
      <c r="C24" s="140"/>
      <c r="D24" s="140"/>
      <c r="E24" s="103">
        <v>3</v>
      </c>
      <c r="F24" s="13" t="str">
        <f>IF(AND(E24=V5, E10/E11&gt;2),"See Note 4","")</f>
        <v/>
      </c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74"/>
      <c r="R24" s="74"/>
    </row>
    <row r="25" spans="1:20" ht="18" x14ac:dyDescent="0.35">
      <c r="A25" s="32"/>
      <c r="B25" s="105" t="s">
        <v>182</v>
      </c>
      <c r="C25" s="105"/>
      <c r="D25" s="106"/>
      <c r="E25" s="103" t="s">
        <v>184</v>
      </c>
      <c r="F25" s="13" t="str">
        <f>IF(E25="Yes","See Note 4","")</f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2"/>
      <c r="Q25" s="74"/>
      <c r="R25" s="74"/>
    </row>
    <row r="26" spans="1:20" ht="18" x14ac:dyDescent="0.35">
      <c r="A26" s="32"/>
      <c r="B26" s="105" t="s">
        <v>157</v>
      </c>
      <c r="C26" s="105"/>
      <c r="D26" s="106"/>
      <c r="E26" s="104">
        <v>0.9</v>
      </c>
      <c r="F26" s="13"/>
      <c r="G26" s="34"/>
      <c r="H26" s="34"/>
      <c r="I26" s="34"/>
      <c r="J26" s="34"/>
      <c r="K26" s="34"/>
      <c r="L26" s="34"/>
      <c r="M26" s="34"/>
      <c r="N26" s="34"/>
      <c r="O26" s="34"/>
      <c r="P26" s="32"/>
      <c r="Q26" s="74"/>
      <c r="R26" s="74"/>
    </row>
    <row r="27" spans="1:20" ht="38.25" customHeight="1" x14ac:dyDescent="0.35">
      <c r="A27" s="32"/>
      <c r="B27" s="134" t="s">
        <v>13</v>
      </c>
      <c r="C27" s="134"/>
      <c r="D27" s="135"/>
      <c r="E27" s="58">
        <v>150</v>
      </c>
      <c r="F27" s="6" t="str">
        <f>IF(E27&lt;=100,"kHz @ Peak of the Line","See Note 6")</f>
        <v>See Note 6</v>
      </c>
      <c r="G27" s="34"/>
      <c r="H27" s="123" t="s">
        <v>77</v>
      </c>
      <c r="I27" s="124"/>
      <c r="J27" s="124"/>
      <c r="K27" s="124"/>
      <c r="L27" s="125"/>
      <c r="M27" s="9"/>
      <c r="N27" s="7">
        <f>N23*E29/E16</f>
        <v>132.81074074074073</v>
      </c>
      <c r="O27" s="6" t="s">
        <v>18</v>
      </c>
      <c r="P27" s="32"/>
      <c r="Q27" s="74"/>
      <c r="R27" s="74"/>
    </row>
    <row r="28" spans="1:20" ht="18" x14ac:dyDescent="0.35">
      <c r="A28" s="32"/>
      <c r="B28" s="110" t="s">
        <v>129</v>
      </c>
      <c r="C28" s="110"/>
      <c r="D28" s="110"/>
      <c r="E28" s="58">
        <v>21</v>
      </c>
      <c r="F28" s="6" t="str">
        <f>IF(E28&lt;11.9,"See Note 2","Volts")</f>
        <v>Volts</v>
      </c>
      <c r="G28" s="32"/>
      <c r="H28" s="34"/>
      <c r="I28" s="34"/>
      <c r="J28" s="34"/>
      <c r="K28" s="34"/>
      <c r="L28" s="34"/>
      <c r="M28" s="34"/>
      <c r="N28" s="34"/>
      <c r="O28" s="34"/>
      <c r="P28" s="32"/>
      <c r="Q28" s="74"/>
      <c r="R28" s="74"/>
    </row>
    <row r="29" spans="1:20" ht="18" x14ac:dyDescent="0.35">
      <c r="A29" s="32"/>
      <c r="B29" s="110" t="s">
        <v>132</v>
      </c>
      <c r="C29" s="110"/>
      <c r="D29" s="110"/>
      <c r="E29" s="72">
        <f>T40</f>
        <v>21</v>
      </c>
      <c r="F29" s="67" t="str">
        <f>IF(E29&lt;26,"Volts","See Note 5")</f>
        <v>Volts</v>
      </c>
      <c r="G29" s="32"/>
      <c r="H29" s="123" t="s">
        <v>78</v>
      </c>
      <c r="I29" s="124"/>
      <c r="J29" s="124"/>
      <c r="K29" s="124"/>
      <c r="L29" s="125"/>
      <c r="M29" s="6"/>
      <c r="N29" s="7">
        <f>1000000/(6.28*2*E12*T52)</f>
        <v>347.41121384190177</v>
      </c>
      <c r="O29" s="6" t="s">
        <v>80</v>
      </c>
      <c r="P29" s="32"/>
      <c r="Q29" s="74"/>
      <c r="R29" s="74"/>
    </row>
    <row r="30" spans="1:20" ht="18" x14ac:dyDescent="0.35">
      <c r="A30" s="32"/>
      <c r="B30" s="143" t="s">
        <v>177</v>
      </c>
      <c r="C30" s="143"/>
      <c r="D30" s="143"/>
      <c r="E30" s="58" t="s">
        <v>176</v>
      </c>
      <c r="F30" s="74"/>
      <c r="G30" s="32"/>
      <c r="H30" s="110" t="s">
        <v>88</v>
      </c>
      <c r="I30" s="110"/>
      <c r="J30" s="110"/>
      <c r="K30" s="110"/>
      <c r="L30" s="110"/>
      <c r="M30" s="9"/>
      <c r="N30" s="43">
        <f>0.577*T16*N11/2</f>
        <v>0.5151249632526278</v>
      </c>
      <c r="O30" s="29" t="s">
        <v>75</v>
      </c>
      <c r="P30" s="32"/>
      <c r="Q30" s="74"/>
      <c r="R30" s="74"/>
    </row>
    <row r="31" spans="1:20" ht="18" x14ac:dyDescent="0.35">
      <c r="A31" s="32"/>
      <c r="B31" s="32"/>
      <c r="C31" s="32"/>
      <c r="D31" s="32"/>
      <c r="E31" s="33"/>
      <c r="F31" s="32"/>
      <c r="G31" s="32"/>
      <c r="H31" s="110" t="s">
        <v>83</v>
      </c>
      <c r="I31" s="110"/>
      <c r="J31" s="110"/>
      <c r="K31" s="110"/>
      <c r="L31" s="110"/>
      <c r="M31" s="9"/>
      <c r="N31" s="41">
        <f>T16*T20*0.5/(E17*0.001)</f>
        <v>1.5625</v>
      </c>
      <c r="O31" s="12" t="s">
        <v>81</v>
      </c>
      <c r="P31" s="32"/>
      <c r="Q31" s="74"/>
      <c r="R31" s="74"/>
    </row>
    <row r="32" spans="1:20" ht="18" x14ac:dyDescent="0.35">
      <c r="A32" s="32"/>
      <c r="B32" s="32"/>
      <c r="C32" s="32"/>
      <c r="D32" s="32"/>
      <c r="E32" s="33"/>
      <c r="F32" s="32"/>
      <c r="G32" s="32"/>
      <c r="H32" s="110" t="s">
        <v>159</v>
      </c>
      <c r="I32" s="110"/>
      <c r="J32" s="110"/>
      <c r="K32" s="110"/>
      <c r="L32" s="110"/>
      <c r="M32" s="9"/>
      <c r="N32" s="41">
        <f>N31*N21^2</f>
        <v>7.4189309542416079E-2</v>
      </c>
      <c r="O32" s="89" t="s">
        <v>160</v>
      </c>
      <c r="P32" s="32"/>
      <c r="Q32" s="74"/>
      <c r="R32" s="74"/>
      <c r="T32" t="s">
        <v>126</v>
      </c>
    </row>
    <row r="33" spans="1:20" ht="18" x14ac:dyDescent="0.35">
      <c r="A33" s="32"/>
      <c r="B33" s="32"/>
      <c r="C33" s="32"/>
      <c r="D33" s="32"/>
      <c r="E33" s="33"/>
      <c r="F33" s="32"/>
      <c r="G33" s="32"/>
      <c r="H33" s="110"/>
      <c r="I33" s="110"/>
      <c r="J33" s="110"/>
      <c r="K33" s="110"/>
      <c r="L33" s="110"/>
      <c r="M33" s="9"/>
      <c r="N33" s="41"/>
      <c r="O33" s="67"/>
      <c r="P33" s="32"/>
      <c r="Q33" s="74"/>
      <c r="R33" s="74"/>
    </row>
    <row r="34" spans="1:20" x14ac:dyDescent="0.3">
      <c r="A34" s="32"/>
      <c r="B34" s="32"/>
      <c r="C34" s="32"/>
      <c r="D34" s="32"/>
      <c r="E34" s="33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74"/>
      <c r="R34" s="74"/>
      <c r="T34">
        <f>E16*E17*0.001/E26</f>
        <v>7.2</v>
      </c>
    </row>
    <row r="35" spans="1:20" ht="23.4" x14ac:dyDescent="0.45">
      <c r="H35" s="44" t="s">
        <v>72</v>
      </c>
      <c r="I35" s="44"/>
      <c r="J35" s="44"/>
      <c r="K35" s="45"/>
      <c r="L35" s="44"/>
      <c r="M35" s="44"/>
      <c r="T35">
        <f>AVERAGE(E10:E11)</f>
        <v>195</v>
      </c>
    </row>
    <row r="36" spans="1:20" ht="23.4" x14ac:dyDescent="0.45">
      <c r="H36" s="145" t="s">
        <v>73</v>
      </c>
      <c r="I36" s="145"/>
      <c r="J36" s="145"/>
      <c r="K36" s="145"/>
      <c r="L36" s="145"/>
      <c r="M36" s="145"/>
      <c r="N36" s="145"/>
      <c r="O36" s="145"/>
      <c r="P36" s="145"/>
      <c r="Q36" s="71"/>
      <c r="R36" s="71"/>
      <c r="T36">
        <f>IF(AND(E24=V5,T35&gt;220),T34*0.25,T34)</f>
        <v>7.2</v>
      </c>
    </row>
    <row r="37" spans="1:20" ht="23.4" x14ac:dyDescent="0.45">
      <c r="H37" s="144" t="str">
        <f>IF(E28&lt;11.9,"2.  Low Vcc will give poor step dimming performance","")</f>
        <v/>
      </c>
      <c r="I37" s="144"/>
      <c r="J37" s="144"/>
      <c r="K37" s="144"/>
      <c r="L37" s="144"/>
      <c r="M37" s="144"/>
      <c r="N37" s="144"/>
      <c r="O37" s="144"/>
      <c r="P37" s="144"/>
      <c r="Q37" s="70"/>
      <c r="R37" s="70"/>
      <c r="T37" t="s">
        <v>130</v>
      </c>
    </row>
    <row r="38" spans="1:20" ht="23.4" x14ac:dyDescent="0.45">
      <c r="H38" s="73" t="str">
        <f>IF(N18&lt;7%,"3.  Low duty cycles will lead to decreased current regulation accuracy","")</f>
        <v/>
      </c>
      <c r="I38" s="73"/>
      <c r="J38" s="73"/>
      <c r="K38" s="73"/>
      <c r="L38" s="73"/>
      <c r="M38" s="73"/>
      <c r="N38" s="73"/>
      <c r="O38" s="73"/>
      <c r="P38" s="73"/>
      <c r="Q38" s="70"/>
      <c r="R38" s="70"/>
      <c r="T38">
        <f>E28</f>
        <v>21</v>
      </c>
    </row>
    <row r="39" spans="1:20" ht="23.4" x14ac:dyDescent="0.45">
      <c r="H39" s="144" t="str">
        <f>IF(E25="Yes","4.  Ensure VF min value is set based on minimum dimming current VF","")</f>
        <v/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T39" t="s">
        <v>131</v>
      </c>
    </row>
    <row r="40" spans="1:20" ht="23.4" x14ac:dyDescent="0.45">
      <c r="H40" s="144" t="str">
        <f>IF(E29&lt;26,"","5.  Vcc too high and will trip internal OVP")</f>
        <v/>
      </c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T40">
        <f>E16*E28/E15</f>
        <v>21</v>
      </c>
    </row>
    <row r="41" spans="1:20" ht="23.4" x14ac:dyDescent="0.45">
      <c r="H41" s="73" t="str">
        <f>IF(E27&lt;=100,"","6.  High frequency operation may lead to decreased current regulation accuracy")</f>
        <v>6.  High frequency operation may lead to decreased current regulation accuracy</v>
      </c>
      <c r="I41" s="73"/>
      <c r="J41" s="73"/>
      <c r="K41" s="73"/>
      <c r="L41" s="73"/>
      <c r="M41" s="73"/>
      <c r="N41" s="73"/>
      <c r="O41" s="73"/>
      <c r="P41" s="73"/>
      <c r="Q41" s="70"/>
      <c r="R41" s="70"/>
      <c r="T41" s="68" t="s">
        <v>138</v>
      </c>
    </row>
    <row r="42" spans="1:20" ht="23.4" x14ac:dyDescent="0.45">
      <c r="H42" s="144" t="str">
        <f>IF(T44&gt;=5,"","7.  Off time too small")</f>
        <v/>
      </c>
      <c r="I42" s="144"/>
      <c r="J42" s="144"/>
      <c r="K42" s="144"/>
      <c r="L42" s="144"/>
      <c r="M42" s="144"/>
      <c r="N42" s="144"/>
      <c r="O42" s="144"/>
      <c r="P42" s="144"/>
      <c r="Q42" s="70"/>
      <c r="R42" s="70"/>
      <c r="T42">
        <f>E16*T16</f>
        <v>81</v>
      </c>
    </row>
    <row r="43" spans="1:20" ht="23.4" x14ac:dyDescent="0.45">
      <c r="H43" s="101" t="str">
        <f>IF(N17&gt;T22,"8.  Duty Cycle limited at low line. Increase low line or reduce flyback voltage","")</f>
        <v/>
      </c>
      <c r="T43" t="s">
        <v>139</v>
      </c>
    </row>
    <row r="44" spans="1:20" ht="23.4" x14ac:dyDescent="0.45">
      <c r="H44" s="101" t="str">
        <f>IF(N11*N31&gt;1,"9.  Primary Current limited.  Increase Vin, reduce Vled, increase efficiency, or change Turns Ratio","")</f>
        <v/>
      </c>
      <c r="T44" s="69">
        <f>N10*N11/T42</f>
        <v>5.6125350563830283</v>
      </c>
    </row>
    <row r="45" spans="1:20" x14ac:dyDescent="0.3">
      <c r="T45" t="s">
        <v>158</v>
      </c>
    </row>
    <row r="46" spans="1:20" x14ac:dyDescent="0.3">
      <c r="T46">
        <v>2</v>
      </c>
    </row>
    <row r="47" spans="1:20" x14ac:dyDescent="0.3">
      <c r="T47">
        <f>T34*T46</f>
        <v>14.4</v>
      </c>
    </row>
    <row r="49" spans="20:20" x14ac:dyDescent="0.3">
      <c r="T49">
        <f>2*T47*((E11*1.414)+(E16*T16))/(E11*1.414*E16*T16)</f>
        <v>0.59517615627108933</v>
      </c>
    </row>
    <row r="51" spans="20:20" x14ac:dyDescent="0.3">
      <c r="T51">
        <f>SQRT(E17^2-(E19/2)^2)</f>
        <v>218.1742422927143</v>
      </c>
    </row>
    <row r="52" spans="20:20" x14ac:dyDescent="0.3">
      <c r="T52">
        <f>E18*0.5*E19/T51</f>
        <v>4.5834924851410559</v>
      </c>
    </row>
  </sheetData>
  <sheetProtection password="DD03" sheet="1" objects="1" scenarios="1"/>
  <dataConsolidate/>
  <mergeCells count="50">
    <mergeCell ref="B30:D30"/>
    <mergeCell ref="H31:L31"/>
    <mergeCell ref="H30:L30"/>
    <mergeCell ref="H42:P42"/>
    <mergeCell ref="H37:P37"/>
    <mergeCell ref="H40:R40"/>
    <mergeCell ref="H32:L32"/>
    <mergeCell ref="H36:P36"/>
    <mergeCell ref="H33:L33"/>
    <mergeCell ref="H39:R39"/>
    <mergeCell ref="B29:D29"/>
    <mergeCell ref="B27:D27"/>
    <mergeCell ref="B26:D26"/>
    <mergeCell ref="H18:L18"/>
    <mergeCell ref="H21:L21"/>
    <mergeCell ref="H23:L23"/>
    <mergeCell ref="H27:L27"/>
    <mergeCell ref="H20:L20"/>
    <mergeCell ref="B18:D18"/>
    <mergeCell ref="B19:D19"/>
    <mergeCell ref="B22:D22"/>
    <mergeCell ref="B23:D23"/>
    <mergeCell ref="B24:D24"/>
    <mergeCell ref="B28:D28"/>
    <mergeCell ref="B21:F21"/>
    <mergeCell ref="H29:L29"/>
    <mergeCell ref="B10:D10"/>
    <mergeCell ref="H17:L17"/>
    <mergeCell ref="H11:L11"/>
    <mergeCell ref="B16:D16"/>
    <mergeCell ref="B17:D17"/>
    <mergeCell ref="B14:F14"/>
    <mergeCell ref="B11:D11"/>
    <mergeCell ref="B12:D12"/>
    <mergeCell ref="B25:D25"/>
    <mergeCell ref="B3:O3"/>
    <mergeCell ref="H16:L16"/>
    <mergeCell ref="B5:O5"/>
    <mergeCell ref="B6:D6"/>
    <mergeCell ref="E6:F6"/>
    <mergeCell ref="L6:O6"/>
    <mergeCell ref="B4:O4"/>
    <mergeCell ref="B9:F9"/>
    <mergeCell ref="H12:L12"/>
    <mergeCell ref="H13:L13"/>
    <mergeCell ref="B15:D15"/>
    <mergeCell ref="G6:K6"/>
    <mergeCell ref="B7:O7"/>
    <mergeCell ref="H9:O9"/>
    <mergeCell ref="H10:L10"/>
  </mergeCells>
  <dataValidations count="17">
    <dataValidation type="decimal" allowBlank="1" showInputMessage="1" showErrorMessage="1" promptTitle="Iout" prompt="Select Iout 1 - 5000 mA" sqref="E17">
      <formula1>1</formula1>
      <formula2>5000</formula2>
    </dataValidation>
    <dataValidation type="decimal" allowBlank="1" showInputMessage="1" showErrorMessage="1" promptTitle="Dynamic Resistance" prompt="Select Dynamic Resistance 0.01 to 1000 Ohms" sqref="E18">
      <formula1>0.01</formula1>
      <formula2>1000</formula2>
    </dataValidation>
    <dataValidation type="list" allowBlank="1" showInputMessage="1" showErrorMessage="1" sqref="E22">
      <formula1>Topology</formula1>
    </dataValidation>
    <dataValidation type="decimal" allowBlank="1" showInputMessage="1" showErrorMessage="1" promptTitle="Vmax" prompt="Select V max 25-500 V ac" sqref="E10">
      <formula1>25</formula1>
      <formula2>500</formula2>
    </dataValidation>
    <dataValidation type="decimal" allowBlank="1" showInputMessage="1" showErrorMessage="1" promptTitle="Vmin" prompt="Select Vmin 25-500 V ac" sqref="E11">
      <formula1>25</formula1>
      <formula2>500</formula2>
    </dataValidation>
    <dataValidation type="list" allowBlank="1" showInputMessage="1" showErrorMessage="1" sqref="E12">
      <formula1>Frequency</formula1>
    </dataValidation>
    <dataValidation type="decimal" allowBlank="1" showInputMessage="1" showErrorMessage="1" promptTitle="Vout" prompt="Select Vout 1-500 Vdc" sqref="E16">
      <formula1>1</formula1>
      <formula2>500</formula2>
    </dataValidation>
    <dataValidation type="decimal" allowBlank="1" showInputMessage="1" showErrorMessage="1" promptTitle="Turns Ratio" prompt="Select turns ratio 0.1-100" sqref="E23">
      <formula1>0.1</formula1>
      <formula2>100</formula2>
    </dataValidation>
    <dataValidation type="decimal" allowBlank="1" showInputMessage="1" showErrorMessage="1" promptTitle="Turns Ratio Target" prompt="Input Target Turns Ratio" sqref="E24">
      <formula1>0</formula1>
      <formula2>1000</formula2>
    </dataValidation>
    <dataValidation type="decimal" allowBlank="1" showInputMessage="1" showErrorMessage="1" promptTitle="Sw Freq" prompt="Select Max Switching Frequency 20-250 kHz" sqref="E27">
      <formula1>20</formula1>
      <formula2>250</formula2>
    </dataValidation>
    <dataValidation type="decimal" allowBlank="1" showInputMessage="1" showErrorMessage="1" error="Input out of Range Vcc Min should be 10 - 26 V" promptTitle="Vcc" prompt="Vcc should be 10-25.5 V dc" sqref="E28">
      <formula1>10</formula1>
      <formula2>25.49</formula2>
    </dataValidation>
    <dataValidation allowBlank="1" showInputMessage="1" showErrorMessage="1" error="Input out of Range Vcc Min should be 10 - 26 V" promptTitle="Vcc" prompt="Vcc should be 10-25.5 V dc" sqref="E29"/>
    <dataValidation type="decimal" allowBlank="1" showInputMessage="1" showErrorMessage="1" error="Choose Ripple Current 1 - 3000 mA" prompt="Select ripple current  1 - 3000 mA" sqref="E19">
      <formula1>1</formula1>
      <formula2>3000</formula2>
    </dataValidation>
    <dataValidation type="decimal" allowBlank="1" showInputMessage="1" showErrorMessage="1" promptTitle="Vout" prompt="Select Vout 1-500 V dc" sqref="E15">
      <formula1>1</formula1>
      <formula2>500</formula2>
    </dataValidation>
    <dataValidation type="decimal" allowBlank="1" showInputMessage="1" showErrorMessage="1" prompt="Input Efficiency Estimate 0-100%" sqref="E26">
      <formula1>0</formula1>
      <formula2>1</formula2>
    </dataValidation>
    <dataValidation type="list" allowBlank="1" showInputMessage="1" showErrorMessage="1" promptTitle="Dimming" prompt="Will this be a dimming application?" sqref="E25">
      <formula1>$V$12:$V$13</formula1>
    </dataValidation>
    <dataValidation type="list" allowBlank="1" showInputMessage="1" showErrorMessage="1" promptTitle="Controller P/N" prompt="Choose Controller" sqref="E30">
      <formula1>$V$6:$V$9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zoomScale="80" zoomScaleNormal="80" workbookViewId="0">
      <selection activeCell="B8" sqref="B8"/>
    </sheetView>
  </sheetViews>
  <sheetFormatPr defaultColWidth="9.109375" defaultRowHeight="14.4" x14ac:dyDescent="0.3"/>
  <cols>
    <col min="1" max="1" width="9.109375" style="1"/>
    <col min="2" max="2" width="15.88671875" style="1" bestFit="1" customWidth="1"/>
    <col min="3" max="3" width="18.33203125" style="1" bestFit="1" customWidth="1"/>
    <col min="4" max="6" width="22.77734375" style="1" customWidth="1"/>
    <col min="7" max="7" width="26.5546875" style="1" bestFit="1" customWidth="1"/>
    <col min="8" max="8" width="14.33203125" style="1" customWidth="1"/>
    <col min="9" max="10" width="9.109375" style="1"/>
    <col min="11" max="13" width="0" style="1" hidden="1" customWidth="1"/>
    <col min="14" max="16384" width="9.109375" style="1"/>
  </cols>
  <sheetData>
    <row r="1" spans="1:13" x14ac:dyDescent="0.3">
      <c r="A1" s="33"/>
      <c r="B1" s="33"/>
      <c r="C1" s="33"/>
      <c r="D1" s="33"/>
      <c r="E1" s="33"/>
      <c r="F1" s="33"/>
      <c r="G1" s="33"/>
      <c r="H1" s="33"/>
      <c r="I1" s="33"/>
    </row>
    <row r="2" spans="1:13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3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3" x14ac:dyDescent="0.3">
      <c r="A4" s="33"/>
      <c r="B4" s="33"/>
      <c r="C4" s="33"/>
      <c r="D4" s="33"/>
      <c r="E4" s="33"/>
      <c r="F4" s="33"/>
      <c r="G4" s="33"/>
      <c r="H4" s="33"/>
      <c r="I4" s="33"/>
    </row>
    <row r="5" spans="1:13" x14ac:dyDescent="0.3">
      <c r="A5" s="33"/>
      <c r="B5" s="33"/>
      <c r="C5" s="33"/>
      <c r="D5" s="33"/>
      <c r="E5" s="33"/>
      <c r="F5" s="33"/>
      <c r="G5" s="33"/>
      <c r="H5" s="33"/>
      <c r="I5" s="33"/>
    </row>
    <row r="6" spans="1:13" ht="25.8" x14ac:dyDescent="0.5">
      <c r="A6" s="33"/>
      <c r="B6" s="148" t="s">
        <v>104</v>
      </c>
      <c r="C6" s="148"/>
      <c r="D6" s="148"/>
      <c r="E6" s="148"/>
      <c r="F6" s="148"/>
      <c r="G6" s="148"/>
      <c r="H6" s="148"/>
      <c r="I6" s="33"/>
    </row>
    <row r="7" spans="1:13" ht="19.8" x14ac:dyDescent="0.35">
      <c r="A7" s="33"/>
      <c r="B7" s="50" t="s">
        <v>95</v>
      </c>
      <c r="C7" s="50" t="s">
        <v>119</v>
      </c>
      <c r="D7" s="50" t="s">
        <v>120</v>
      </c>
      <c r="E7" s="50" t="s">
        <v>96</v>
      </c>
      <c r="F7" s="50" t="s">
        <v>39</v>
      </c>
      <c r="G7" s="50" t="s">
        <v>121</v>
      </c>
      <c r="H7" s="50" t="s">
        <v>110</v>
      </c>
      <c r="I7" s="33"/>
    </row>
    <row r="8" spans="1:13" ht="18" x14ac:dyDescent="0.35">
      <c r="A8" s="33"/>
      <c r="B8" s="58" t="s">
        <v>92</v>
      </c>
      <c r="C8" s="47">
        <f>VLOOKUP(B8,K13:M22,2,FALSE)</f>
        <v>31.4</v>
      </c>
      <c r="D8" s="47">
        <f>VLOOKUP(B8,K13:M22,3,FALSE)</f>
        <v>15</v>
      </c>
      <c r="E8" s="58">
        <v>0.3</v>
      </c>
      <c r="F8" s="58">
        <v>0.4</v>
      </c>
      <c r="G8" s="58">
        <v>600</v>
      </c>
      <c r="H8" s="57" t="str">
        <f>'Inductor Worksheet'!E3</f>
        <v>Good Fit</v>
      </c>
      <c r="I8" s="33"/>
    </row>
    <row r="9" spans="1:13" ht="18" x14ac:dyDescent="0.35">
      <c r="A9" s="33"/>
      <c r="B9" s="11" t="s">
        <v>103</v>
      </c>
      <c r="C9" s="58">
        <v>41.5</v>
      </c>
      <c r="D9" s="58">
        <v>27</v>
      </c>
      <c r="E9" s="58">
        <v>0.3</v>
      </c>
      <c r="F9" s="58">
        <v>0.4</v>
      </c>
      <c r="G9" s="58">
        <v>600</v>
      </c>
      <c r="H9" s="57" t="str">
        <f>'Other Core'!E3</f>
        <v>Good Fit</v>
      </c>
      <c r="I9" s="33"/>
    </row>
    <row r="10" spans="1:13" ht="18" x14ac:dyDescent="0.35">
      <c r="A10" s="33"/>
      <c r="B10" s="51"/>
      <c r="C10" s="51"/>
      <c r="D10" s="51"/>
      <c r="E10" s="51"/>
      <c r="F10" s="51"/>
      <c r="G10" s="51"/>
      <c r="H10" s="33"/>
      <c r="I10" s="33"/>
    </row>
    <row r="11" spans="1:13" ht="18" x14ac:dyDescent="0.35">
      <c r="A11" s="33"/>
      <c r="B11" s="51"/>
      <c r="C11" s="51"/>
      <c r="D11" s="51"/>
      <c r="E11" s="51"/>
      <c r="F11" s="51"/>
      <c r="G11" s="51"/>
      <c r="H11" s="33"/>
      <c r="I11" s="33"/>
    </row>
    <row r="12" spans="1:13" ht="25.8" x14ac:dyDescent="0.5">
      <c r="A12" s="33"/>
      <c r="B12" s="161" t="s">
        <v>168</v>
      </c>
      <c r="C12" s="161"/>
      <c r="D12" s="161"/>
      <c r="E12" s="161"/>
      <c r="F12" s="161"/>
      <c r="G12" s="161"/>
      <c r="H12" s="161"/>
      <c r="I12" s="33"/>
      <c r="L12" s="1" t="s">
        <v>97</v>
      </c>
      <c r="M12" s="1" t="s">
        <v>98</v>
      </c>
    </row>
    <row r="13" spans="1:13" ht="18" x14ac:dyDescent="0.35">
      <c r="A13" s="33"/>
      <c r="B13" s="149"/>
      <c r="C13" s="150"/>
      <c r="D13" s="50" t="str">
        <f>B8</f>
        <v>RM6</v>
      </c>
      <c r="E13" s="50" t="s">
        <v>103</v>
      </c>
      <c r="F13" s="50" t="s">
        <v>122</v>
      </c>
      <c r="G13" s="42"/>
      <c r="H13" s="46"/>
      <c r="I13" s="33"/>
      <c r="K13" s="1" t="s">
        <v>89</v>
      </c>
      <c r="L13" s="1">
        <v>20.100000000000001</v>
      </c>
      <c r="M13" s="1">
        <v>21.6</v>
      </c>
    </row>
    <row r="14" spans="1:13" ht="19.8" x14ac:dyDescent="0.35">
      <c r="A14" s="33"/>
      <c r="B14" s="146" t="s">
        <v>111</v>
      </c>
      <c r="C14" s="146"/>
      <c r="D14" s="54">
        <f>'Inductor Worksheet'!B5*'Inductor Worksheet'!J8*10000</f>
        <v>275.17073026304024</v>
      </c>
      <c r="E14" s="54">
        <f>'Other Core'!B5*'Other Core'!J8*10000</f>
        <v>275.17073026304024</v>
      </c>
      <c r="F14" s="42" t="s">
        <v>114</v>
      </c>
      <c r="G14" s="42"/>
      <c r="H14" s="46"/>
      <c r="I14" s="33"/>
      <c r="K14" s="1" t="s">
        <v>90</v>
      </c>
      <c r="L14" s="1">
        <v>12.4</v>
      </c>
      <c r="M14" s="1">
        <v>11.6</v>
      </c>
    </row>
    <row r="15" spans="1:13" ht="19.8" x14ac:dyDescent="0.35">
      <c r="A15" s="33"/>
      <c r="B15" s="146" t="s">
        <v>112</v>
      </c>
      <c r="C15" s="146"/>
      <c r="D15" s="54">
        <f>'Inductor Worksheet'!G5*'Inductor Worksheet'!J8*10000</f>
        <v>470.99999999999994</v>
      </c>
      <c r="E15" s="54">
        <f>'Other Core'!G5*'Other Core'!J8*10000</f>
        <v>1120.5</v>
      </c>
      <c r="F15" s="42" t="s">
        <v>114</v>
      </c>
      <c r="G15" s="42"/>
      <c r="H15" s="46"/>
      <c r="I15" s="33"/>
      <c r="K15" s="1" t="s">
        <v>91</v>
      </c>
      <c r="L15" s="1">
        <v>19.5</v>
      </c>
      <c r="M15" s="1">
        <v>13.6</v>
      </c>
    </row>
    <row r="16" spans="1:13" ht="21" x14ac:dyDescent="0.45">
      <c r="A16" s="33"/>
      <c r="B16" s="149" t="s">
        <v>125</v>
      </c>
      <c r="C16" s="150"/>
      <c r="D16" s="54">
        <f>'Inductor Worksheet'!B20</f>
        <v>327.95344377694511</v>
      </c>
      <c r="E16" s="54">
        <f>'Other Core'!B20</f>
        <v>572.8607839515231</v>
      </c>
      <c r="F16" s="42" t="s">
        <v>113</v>
      </c>
      <c r="G16" s="42" t="str">
        <f>IF(D16*E16&lt;10000,"Caution Under 100","")</f>
        <v/>
      </c>
      <c r="H16" s="46"/>
      <c r="I16" s="33"/>
      <c r="K16" s="1" t="s">
        <v>92</v>
      </c>
      <c r="L16" s="1">
        <v>31.4</v>
      </c>
      <c r="M16" s="1">
        <v>15</v>
      </c>
    </row>
    <row r="17" spans="1:13" ht="19.8" x14ac:dyDescent="0.35">
      <c r="A17" s="33"/>
      <c r="B17" s="52" t="s">
        <v>48</v>
      </c>
      <c r="C17" s="53"/>
      <c r="D17" s="54">
        <f>'Inductor Worksheet'!F17</f>
        <v>350.53596211852255</v>
      </c>
      <c r="E17" s="54">
        <f>'Other Core'!F17</f>
        <v>147.34711125196264</v>
      </c>
      <c r="F17" s="42" t="s">
        <v>116</v>
      </c>
      <c r="G17" s="42"/>
      <c r="H17" s="46"/>
      <c r="I17" s="33"/>
      <c r="K17" s="1" t="s">
        <v>101</v>
      </c>
      <c r="L17" s="1">
        <v>37</v>
      </c>
      <c r="M17" s="1">
        <v>15</v>
      </c>
    </row>
    <row r="18" spans="1:13" ht="18" x14ac:dyDescent="0.35">
      <c r="A18" s="33"/>
      <c r="B18" s="159" t="s">
        <v>105</v>
      </c>
      <c r="C18" s="160"/>
      <c r="D18" s="64"/>
      <c r="E18" s="64"/>
      <c r="F18" s="64"/>
      <c r="G18" s="64"/>
      <c r="H18" s="65"/>
      <c r="I18" s="33"/>
      <c r="K18" s="1" t="s">
        <v>100</v>
      </c>
      <c r="L18" s="1">
        <v>52</v>
      </c>
      <c r="M18" s="1">
        <v>30</v>
      </c>
    </row>
    <row r="19" spans="1:13" ht="18" x14ac:dyDescent="0.35">
      <c r="A19" s="33"/>
      <c r="B19" s="33"/>
      <c r="C19" s="59" t="s">
        <v>106</v>
      </c>
      <c r="D19" s="54">
        <f>'Inductor Worksheet'!B17</f>
        <v>48.260651758707567</v>
      </c>
      <c r="E19" s="54">
        <f>'Other Core'!B17</f>
        <v>36.515288318636571</v>
      </c>
      <c r="F19" s="64"/>
      <c r="G19" s="64"/>
      <c r="H19" s="65"/>
      <c r="I19" s="33"/>
      <c r="K19" s="1" t="s">
        <v>102</v>
      </c>
      <c r="L19" s="1">
        <v>63</v>
      </c>
      <c r="M19" s="1">
        <v>30</v>
      </c>
    </row>
    <row r="20" spans="1:13" ht="18" x14ac:dyDescent="0.35">
      <c r="A20" s="33"/>
      <c r="B20" s="33"/>
      <c r="C20" s="59" t="s">
        <v>60</v>
      </c>
      <c r="D20" s="54">
        <f>'Inductor Worksheet'!F29</f>
        <v>29.140068809633135</v>
      </c>
      <c r="E20" s="54">
        <f>'Other Core'!F29</f>
        <v>25.402585821008273</v>
      </c>
      <c r="F20" s="64" t="s">
        <v>61</v>
      </c>
      <c r="G20" s="155" t="str">
        <f>IF(D20*E20&lt;1000,"Litz Wire Recommended","")</f>
        <v>Litz Wire Recommended</v>
      </c>
      <c r="H20" s="156"/>
      <c r="I20" s="33"/>
      <c r="K20" s="1" t="s">
        <v>93</v>
      </c>
      <c r="L20" s="1">
        <v>15</v>
      </c>
      <c r="M20" s="1">
        <v>14.8</v>
      </c>
    </row>
    <row r="21" spans="1:13" ht="18" x14ac:dyDescent="0.35">
      <c r="A21" s="33"/>
      <c r="B21" s="151" t="s">
        <v>107</v>
      </c>
      <c r="C21" s="152"/>
      <c r="D21" s="55"/>
      <c r="E21" s="55"/>
      <c r="F21" s="55"/>
      <c r="G21" s="55"/>
      <c r="H21" s="56"/>
      <c r="I21" s="33"/>
      <c r="K21" s="1" t="s">
        <v>94</v>
      </c>
      <c r="L21" s="1">
        <v>31</v>
      </c>
      <c r="M21" s="1">
        <v>26.4</v>
      </c>
    </row>
    <row r="22" spans="1:13" ht="18" x14ac:dyDescent="0.35">
      <c r="A22" s="33"/>
      <c r="B22" s="51"/>
      <c r="C22" s="60" t="s">
        <v>106</v>
      </c>
      <c r="D22" s="54">
        <f>D19*'Step 1 Design Parameters'!E28/('Step 1 Design Parameters'!E15*'Step 1 Design Parameters'!T16)</f>
        <v>12.512020826331591</v>
      </c>
      <c r="E22" s="54">
        <f>E19*'Step 1 Design Parameters'!E28/('Step 1 Design Parameters'!E15*'Step 1 Design Parameters'!T16)</f>
        <v>9.4669266011279998</v>
      </c>
      <c r="F22" s="55"/>
      <c r="G22" s="55"/>
      <c r="H22" s="56"/>
      <c r="I22" s="33"/>
      <c r="K22" s="1" t="s">
        <v>99</v>
      </c>
      <c r="L22" s="1">
        <v>61.9</v>
      </c>
      <c r="M22" s="1">
        <v>23.5</v>
      </c>
    </row>
    <row r="23" spans="1:13" ht="18" x14ac:dyDescent="0.35">
      <c r="A23" s="33"/>
      <c r="B23" s="51"/>
      <c r="C23" s="60" t="s">
        <v>60</v>
      </c>
      <c r="D23" s="47">
        <v>36</v>
      </c>
      <c r="E23" s="47">
        <v>36</v>
      </c>
      <c r="F23" s="55" t="s">
        <v>61</v>
      </c>
      <c r="G23" s="55"/>
      <c r="H23" s="56"/>
      <c r="I23" s="33"/>
    </row>
    <row r="24" spans="1:13" ht="18" x14ac:dyDescent="0.35">
      <c r="A24" s="33"/>
      <c r="B24" s="153" t="s">
        <v>108</v>
      </c>
      <c r="C24" s="154"/>
      <c r="D24" s="62"/>
      <c r="E24" s="62"/>
      <c r="F24" s="62"/>
      <c r="G24" s="62"/>
      <c r="H24" s="63"/>
      <c r="I24" s="33"/>
      <c r="K24" s="1" t="s">
        <v>109</v>
      </c>
      <c r="L24" s="3">
        <f>D19/'Step 1 Design Parameters'!T16</f>
        <v>16.086883919569189</v>
      </c>
      <c r="M24" s="3">
        <f>E19/'Step 1 Design Parameters'!T16</f>
        <v>12.171762772878857</v>
      </c>
    </row>
    <row r="25" spans="1:13" ht="18" x14ac:dyDescent="0.35">
      <c r="A25" s="33"/>
      <c r="B25" s="51"/>
      <c r="C25" s="61" t="s">
        <v>106</v>
      </c>
      <c r="D25" s="54">
        <f>IF('Step 1 Design Parameters'!E22="Flyback",'Step 2 Magnetic Design'!L24,"NA")</f>
        <v>16.086883919569189</v>
      </c>
      <c r="E25" s="54">
        <f>IF('Step 1 Design Parameters'!E22="Flyback",'Step 2 Magnetic Design'!M24,"NA")</f>
        <v>12.171762772878857</v>
      </c>
      <c r="F25" s="62"/>
      <c r="G25" s="62"/>
      <c r="H25" s="63"/>
      <c r="I25" s="33"/>
      <c r="K25" s="1" t="s">
        <v>115</v>
      </c>
      <c r="L25" s="3">
        <f>'Inductor Worksheet'!J29</f>
        <v>24.40235512311466</v>
      </c>
      <c r="M25" s="3">
        <f>'Other Core'!J29</f>
        <v>20.664872134489798</v>
      </c>
    </row>
    <row r="26" spans="1:13" ht="18" x14ac:dyDescent="0.35">
      <c r="A26" s="33"/>
      <c r="B26" s="51"/>
      <c r="C26" s="61" t="s">
        <v>60</v>
      </c>
      <c r="D26" s="54">
        <f>IF('Step 1 Design Parameters'!E22="Flyback",'Step 2 Magnetic Design'!L25,"NA")</f>
        <v>24.40235512311466</v>
      </c>
      <c r="E26" s="54">
        <f>IF('Step 1 Design Parameters'!E22="Flyback",'Step 2 Magnetic Design'!M25,"NA")</f>
        <v>20.664872134489798</v>
      </c>
      <c r="F26" s="62" t="s">
        <v>61</v>
      </c>
      <c r="G26" s="157" t="str">
        <f>IF(D26*E26&lt;1000,"Litz Wire Recommended","")</f>
        <v>Litz Wire Recommended</v>
      </c>
      <c r="H26" s="158"/>
      <c r="I26" s="33"/>
    </row>
    <row r="27" spans="1:13" x14ac:dyDescent="0.3">
      <c r="A27" s="33"/>
      <c r="B27" s="33"/>
      <c r="C27" s="33"/>
      <c r="D27" s="33"/>
      <c r="E27" s="33"/>
      <c r="F27" s="33"/>
      <c r="G27" s="33"/>
      <c r="H27" s="33"/>
      <c r="I27" s="33"/>
    </row>
    <row r="28" spans="1:13" x14ac:dyDescent="0.3">
      <c r="A28" s="93"/>
      <c r="B28" s="93"/>
      <c r="C28" s="93"/>
      <c r="D28" s="93"/>
      <c r="E28" s="93"/>
      <c r="F28" s="93"/>
      <c r="G28" s="93"/>
      <c r="H28" s="93"/>
      <c r="I28" s="93"/>
    </row>
    <row r="29" spans="1:13" ht="25.8" x14ac:dyDescent="0.5">
      <c r="A29" s="33"/>
      <c r="B29" s="147" t="s">
        <v>173</v>
      </c>
      <c r="C29" s="147"/>
      <c r="D29" s="147"/>
      <c r="E29" s="147"/>
      <c r="F29" s="147"/>
      <c r="G29" s="147"/>
      <c r="H29" s="147"/>
      <c r="I29" s="99"/>
    </row>
    <row r="30" spans="1:13" ht="18" x14ac:dyDescent="0.35">
      <c r="A30" s="33"/>
      <c r="B30" s="51"/>
      <c r="C30" s="51"/>
      <c r="D30" s="51"/>
      <c r="E30" s="51"/>
      <c r="F30" s="51"/>
      <c r="G30" s="51"/>
      <c r="H30" s="51"/>
      <c r="I30" s="33"/>
    </row>
    <row r="31" spans="1:13" ht="18" x14ac:dyDescent="0.35">
      <c r="A31" s="33"/>
      <c r="B31" s="98"/>
      <c r="C31" s="98"/>
      <c r="D31" s="92" t="s">
        <v>151</v>
      </c>
      <c r="E31" s="92" t="s">
        <v>166</v>
      </c>
      <c r="F31" s="92" t="s">
        <v>153</v>
      </c>
      <c r="G31" s="146" t="s">
        <v>167</v>
      </c>
      <c r="H31" s="146"/>
      <c r="I31" s="33"/>
    </row>
    <row r="32" spans="1:13" ht="18" x14ac:dyDescent="0.35">
      <c r="A32" s="33"/>
      <c r="B32" s="146" t="s">
        <v>15</v>
      </c>
      <c r="C32" s="146"/>
      <c r="D32" s="95">
        <f>0.9*E32</f>
        <v>687.44992772183969</v>
      </c>
      <c r="E32" s="95">
        <f>'Step 1 Design Parameters'!N10</f>
        <v>763.83325302426636</v>
      </c>
      <c r="F32" s="95">
        <f>1.1*E32</f>
        <v>840.21657832669302</v>
      </c>
      <c r="G32" s="162" t="s">
        <v>174</v>
      </c>
      <c r="H32" s="162"/>
      <c r="I32" s="33"/>
    </row>
    <row r="33" spans="1:9" ht="18" x14ac:dyDescent="0.35">
      <c r="A33" s="33"/>
      <c r="B33" s="146" t="s">
        <v>163</v>
      </c>
      <c r="C33" s="146"/>
      <c r="D33" s="96">
        <f>'Step 1 Design Parameters'!N11</f>
        <v>0.59517615627108933</v>
      </c>
      <c r="E33" s="91"/>
      <c r="F33" s="91"/>
      <c r="G33" s="110" t="s">
        <v>30</v>
      </c>
      <c r="H33" s="110"/>
      <c r="I33" s="33"/>
    </row>
    <row r="34" spans="1:9" ht="18" x14ac:dyDescent="0.35">
      <c r="A34" s="33"/>
      <c r="B34" s="146" t="s">
        <v>164</v>
      </c>
      <c r="C34" s="146"/>
      <c r="D34" s="91"/>
      <c r="E34" s="96">
        <f>'Step 1 Design Parameters'!N13</f>
        <v>0.21790171662276159</v>
      </c>
      <c r="F34" s="91"/>
      <c r="G34" s="110" t="s">
        <v>30</v>
      </c>
      <c r="H34" s="110"/>
      <c r="I34" s="33"/>
    </row>
    <row r="35" spans="1:9" ht="18" x14ac:dyDescent="0.35">
      <c r="A35" s="33"/>
      <c r="B35" s="146" t="s">
        <v>165</v>
      </c>
      <c r="C35" s="146"/>
      <c r="D35" s="91">
        <v>200</v>
      </c>
      <c r="E35" s="91"/>
      <c r="F35" s="91"/>
      <c r="G35" s="110" t="s">
        <v>172</v>
      </c>
      <c r="H35" s="110"/>
      <c r="I35" s="33"/>
    </row>
    <row r="36" spans="1:9" ht="18" x14ac:dyDescent="0.35">
      <c r="A36" s="33"/>
      <c r="B36" s="146" t="s">
        <v>169</v>
      </c>
      <c r="C36" s="146"/>
      <c r="D36" s="91"/>
      <c r="E36" s="96">
        <f>'Step 1 Design Parameters'!N12</f>
        <v>0.79629422206855671</v>
      </c>
      <c r="F36" s="91"/>
      <c r="G36" s="110" t="s">
        <v>30</v>
      </c>
      <c r="H36" s="110"/>
      <c r="I36" s="33"/>
    </row>
    <row r="37" spans="1:9" ht="18" x14ac:dyDescent="0.35">
      <c r="A37" s="33"/>
      <c r="B37" s="146" t="s">
        <v>170</v>
      </c>
      <c r="C37" s="146"/>
      <c r="D37" s="97">
        <f>0.98*E37</f>
        <v>2.94</v>
      </c>
      <c r="E37" s="97">
        <f>D19/D25</f>
        <v>3</v>
      </c>
      <c r="F37" s="97">
        <f>1.02*E37</f>
        <v>3.06</v>
      </c>
      <c r="G37" s="91"/>
      <c r="H37" s="91"/>
      <c r="I37" s="33"/>
    </row>
    <row r="38" spans="1:9" ht="18" x14ac:dyDescent="0.35">
      <c r="A38" s="33"/>
      <c r="B38" s="146" t="s">
        <v>171</v>
      </c>
      <c r="C38" s="146"/>
      <c r="D38" s="97">
        <f>0.98*E38</f>
        <v>3.78</v>
      </c>
      <c r="E38" s="97">
        <f>D19/D22</f>
        <v>3.8571428571428572</v>
      </c>
      <c r="F38" s="97">
        <f>1.02*E38</f>
        <v>3.9342857142857146</v>
      </c>
      <c r="G38" s="91"/>
      <c r="H38" s="91"/>
      <c r="I38" s="33"/>
    </row>
    <row r="39" spans="1:9" ht="18" x14ac:dyDescent="0.35">
      <c r="A39" s="33"/>
      <c r="B39" s="91"/>
      <c r="C39" s="91"/>
      <c r="D39" s="91"/>
      <c r="E39" s="91"/>
      <c r="F39" s="91"/>
      <c r="G39" s="91"/>
      <c r="H39" s="91"/>
      <c r="I39" s="33"/>
    </row>
    <row r="40" spans="1:9" ht="18" x14ac:dyDescent="0.35">
      <c r="A40" s="33"/>
      <c r="B40" s="91"/>
      <c r="C40" s="91"/>
      <c r="D40" s="91"/>
      <c r="E40" s="91"/>
      <c r="F40" s="91"/>
      <c r="G40" s="91"/>
      <c r="H40" s="91"/>
      <c r="I40" s="33"/>
    </row>
    <row r="41" spans="1:9" ht="18" x14ac:dyDescent="0.35">
      <c r="A41" s="33"/>
      <c r="B41" s="91"/>
      <c r="C41" s="91"/>
      <c r="D41" s="91"/>
      <c r="E41" s="91"/>
      <c r="F41" s="91"/>
      <c r="G41" s="91"/>
      <c r="H41" s="91"/>
      <c r="I41" s="33"/>
    </row>
    <row r="42" spans="1:9" ht="18" x14ac:dyDescent="0.35">
      <c r="A42" s="33"/>
      <c r="B42" s="51"/>
      <c r="C42" s="51"/>
      <c r="D42" s="51"/>
      <c r="E42" s="51"/>
      <c r="F42" s="51"/>
      <c r="G42" s="51"/>
      <c r="H42" s="51"/>
      <c r="I42" s="33"/>
    </row>
    <row r="43" spans="1:9" ht="18" x14ac:dyDescent="0.35">
      <c r="A43" s="33"/>
      <c r="B43" s="51"/>
      <c r="C43" s="51"/>
      <c r="D43" s="51"/>
      <c r="E43" s="51"/>
      <c r="F43" s="51"/>
      <c r="G43" s="51"/>
      <c r="H43" s="51"/>
      <c r="I43" s="33"/>
    </row>
    <row r="44" spans="1:9" ht="18" x14ac:dyDescent="0.35">
      <c r="B44" s="94"/>
      <c r="C44" s="94"/>
      <c r="D44" s="94"/>
      <c r="E44" s="94"/>
      <c r="F44" s="94"/>
      <c r="G44" s="94"/>
      <c r="H44" s="94"/>
    </row>
  </sheetData>
  <sheetProtection password="DD03" sheet="1" objects="1" scenarios="1"/>
  <mergeCells count="25">
    <mergeCell ref="B36:C36"/>
    <mergeCell ref="B37:C37"/>
    <mergeCell ref="B38:C38"/>
    <mergeCell ref="G32:H32"/>
    <mergeCell ref="G33:H33"/>
    <mergeCell ref="G34:H34"/>
    <mergeCell ref="G35:H35"/>
    <mergeCell ref="G36:H36"/>
    <mergeCell ref="B32:C32"/>
    <mergeCell ref="B34:C34"/>
    <mergeCell ref="B33:C33"/>
    <mergeCell ref="B35:C35"/>
    <mergeCell ref="G31:H31"/>
    <mergeCell ref="B29:H29"/>
    <mergeCell ref="B6:H6"/>
    <mergeCell ref="B13:C13"/>
    <mergeCell ref="B21:C21"/>
    <mergeCell ref="B24:C24"/>
    <mergeCell ref="B16:C16"/>
    <mergeCell ref="G20:H20"/>
    <mergeCell ref="G26:H26"/>
    <mergeCell ref="B18:C18"/>
    <mergeCell ref="B14:C14"/>
    <mergeCell ref="B15:C15"/>
    <mergeCell ref="B12:H12"/>
  </mergeCells>
  <dataValidations count="7">
    <dataValidation type="list" allowBlank="1" showInputMessage="1" showErrorMessage="1" sqref="B8">
      <formula1>Cores</formula1>
    </dataValidation>
    <dataValidation type="decimal" allowBlank="1" showInputMessage="1" showErrorMessage="1" sqref="E8:E9">
      <formula1>0</formula1>
      <formula2>10</formula2>
    </dataValidation>
    <dataValidation type="decimal" allowBlank="1" showInputMessage="1" showErrorMessage="1" promptTitle="Fill Factor" prompt="Choose a Value 0 - 1" sqref="F8">
      <formula1>0</formula1>
      <formula2>1</formula2>
    </dataValidation>
    <dataValidation type="decimal" allowBlank="1" showInputMessage="1" showErrorMessage="1" promptTitle="Fill Factor" prompt="Choose a Value 0-1" sqref="F9">
      <formula1>0</formula1>
      <formula2>1</formula2>
    </dataValidation>
    <dataValidation type="decimal" allowBlank="1" showInputMessage="1" showErrorMessage="1" sqref="G9">
      <formula1>0</formula1>
      <formula2>10000</formula2>
    </dataValidation>
    <dataValidation type="decimal" allowBlank="1" showInputMessage="1" showErrorMessage="1" sqref="C9:D9">
      <formula1>0</formula1>
      <formula2>1000</formula2>
    </dataValidation>
    <dataValidation type="whole" allowBlank="1" showInputMessage="1" showErrorMessage="1" sqref="G8">
      <formula1>0</formula1>
      <formula2>10000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opLeftCell="A4" workbookViewId="0">
      <selection activeCell="J8" sqref="J8"/>
    </sheetView>
  </sheetViews>
  <sheetFormatPr defaultRowHeight="14.4" x14ac:dyDescent="0.3"/>
  <cols>
    <col min="1" max="1" width="24" bestFit="1" customWidth="1"/>
    <col min="2" max="2" width="19.33203125" bestFit="1" customWidth="1"/>
    <col min="3" max="3" width="15.33203125" bestFit="1" customWidth="1"/>
    <col min="5" max="5" width="30.6640625" bestFit="1" customWidth="1"/>
    <col min="6" max="6" width="19.109375" bestFit="1" customWidth="1"/>
    <col min="7" max="7" width="18" bestFit="1" customWidth="1"/>
    <col min="8" max="8" width="4.5546875" bestFit="1" customWidth="1"/>
    <col min="9" max="9" width="25" bestFit="1" customWidth="1"/>
    <col min="10" max="10" width="8.44140625" bestFit="1" customWidth="1"/>
    <col min="11" max="11" width="18" bestFit="1" customWidth="1"/>
  </cols>
  <sheetData>
    <row r="2" spans="1:11" x14ac:dyDescent="0.3">
      <c r="I2" s="48" t="s">
        <v>117</v>
      </c>
    </row>
    <row r="3" spans="1:11" ht="20.399999999999999" x14ac:dyDescent="0.35">
      <c r="A3" s="1"/>
      <c r="B3" s="1"/>
      <c r="C3" s="1"/>
      <c r="D3" s="1"/>
      <c r="E3" s="31" t="str">
        <f>IF(B5&lt;G5,I2,I3)</f>
        <v>Good Fit</v>
      </c>
      <c r="F3" s="1"/>
      <c r="G3" s="1"/>
      <c r="H3" s="1"/>
      <c r="I3" s="49" t="s">
        <v>118</v>
      </c>
      <c r="K3" s="30"/>
    </row>
    <row r="4" spans="1:11" x14ac:dyDescent="0.3">
      <c r="A4" s="1"/>
      <c r="B4" s="1"/>
      <c r="C4" s="1"/>
      <c r="D4" s="1"/>
      <c r="E4" s="1"/>
      <c r="F4" s="1"/>
      <c r="G4" s="1"/>
      <c r="H4" s="1"/>
    </row>
    <row r="5" spans="1:11" ht="18" x14ac:dyDescent="0.3">
      <c r="A5" s="14" t="s">
        <v>21</v>
      </c>
      <c r="B5" s="15">
        <f>(B8*0.01*B9*B10)/(B11*B12*B13)</f>
        <v>1.3758536513152012E-2</v>
      </c>
      <c r="C5" s="14" t="s">
        <v>22</v>
      </c>
      <c r="D5" s="16"/>
      <c r="E5" s="16"/>
      <c r="F5" s="14" t="s">
        <v>23</v>
      </c>
      <c r="G5" s="15">
        <f>F8*F9</f>
        <v>2.3549999999999998E-2</v>
      </c>
      <c r="H5" s="14" t="s">
        <v>22</v>
      </c>
    </row>
    <row r="6" spans="1:11" x14ac:dyDescent="0.3">
      <c r="A6" s="1"/>
      <c r="B6" s="1"/>
      <c r="C6" s="1"/>
      <c r="D6" s="1"/>
      <c r="E6" s="1"/>
      <c r="F6" s="1"/>
      <c r="G6" s="1"/>
      <c r="H6" s="1"/>
    </row>
    <row r="7" spans="1:11" x14ac:dyDescent="0.3">
      <c r="A7" s="1"/>
      <c r="B7" s="17" t="s">
        <v>24</v>
      </c>
      <c r="C7" s="1"/>
      <c r="D7" s="1"/>
      <c r="E7" s="1"/>
      <c r="F7" s="17" t="s">
        <v>25</v>
      </c>
      <c r="G7" s="1"/>
      <c r="H7" s="1"/>
    </row>
    <row r="8" spans="1:11" ht="16.2" x14ac:dyDescent="0.3">
      <c r="A8" s="1" t="s">
        <v>26</v>
      </c>
      <c r="B8" s="26">
        <f>'Step 1 Design Parameters'!N10</f>
        <v>763.83325302426636</v>
      </c>
      <c r="C8" s="1" t="s">
        <v>19</v>
      </c>
      <c r="D8" s="1"/>
      <c r="E8" s="1" t="s">
        <v>27</v>
      </c>
      <c r="F8" s="2">
        <f>'Step 2 Magnetic Design'!C8/100</f>
        <v>0.314</v>
      </c>
      <c r="G8" s="1" t="s">
        <v>28</v>
      </c>
      <c r="H8" s="1"/>
      <c r="J8">
        <f>IF('Step 1 Design Parameters'!E22="Flyback",2,1)</f>
        <v>2</v>
      </c>
    </row>
    <row r="9" spans="1:11" ht="16.2" x14ac:dyDescent="0.3">
      <c r="A9" s="1" t="s">
        <v>29</v>
      </c>
      <c r="B9" s="27">
        <f>'Step 1 Design Parameters'!N11</f>
        <v>0.59517615627108933</v>
      </c>
      <c r="C9" s="1" t="s">
        <v>30</v>
      </c>
      <c r="D9" s="1"/>
      <c r="E9" s="1" t="s">
        <v>31</v>
      </c>
      <c r="F9" s="2">
        <f>'Step 2 Magnetic Design'!D8/(J8*100)</f>
        <v>7.4999999999999997E-2</v>
      </c>
      <c r="G9" s="1" t="s">
        <v>28</v>
      </c>
      <c r="H9" s="1"/>
    </row>
    <row r="10" spans="1:11" x14ac:dyDescent="0.3">
      <c r="A10" s="1" t="s">
        <v>32</v>
      </c>
      <c r="B10" s="27">
        <f>C24</f>
        <v>0.21790171662276159</v>
      </c>
      <c r="C10" s="1" t="s">
        <v>30</v>
      </c>
      <c r="D10" s="1"/>
      <c r="E10" s="1" t="s">
        <v>33</v>
      </c>
      <c r="F10" s="2">
        <v>1.8</v>
      </c>
      <c r="G10" s="1" t="s">
        <v>34</v>
      </c>
      <c r="H10" s="1"/>
    </row>
    <row r="11" spans="1:11" ht="16.2" x14ac:dyDescent="0.3">
      <c r="A11" s="1" t="s">
        <v>35</v>
      </c>
      <c r="B11" s="2">
        <f>'Step 2 Magnetic Design'!G8</f>
        <v>600</v>
      </c>
      <c r="C11" s="1" t="s">
        <v>36</v>
      </c>
      <c r="D11" s="1"/>
      <c r="E11" s="1" t="s">
        <v>37</v>
      </c>
      <c r="F11" s="2">
        <v>0.75</v>
      </c>
      <c r="G11" s="1" t="s">
        <v>38</v>
      </c>
      <c r="H11" s="1"/>
    </row>
    <row r="12" spans="1:11" ht="16.2" x14ac:dyDescent="0.3">
      <c r="A12" s="1" t="s">
        <v>39</v>
      </c>
      <c r="B12" s="2">
        <f>'Step 2 Magnetic Design'!F8</f>
        <v>0.4</v>
      </c>
      <c r="C12" s="1"/>
      <c r="D12" s="1"/>
      <c r="E12" s="1" t="s">
        <v>40</v>
      </c>
      <c r="F12" s="3">
        <f>B17/(F9*0.4*0.4*B12)</f>
        <v>10054.302449730742</v>
      </c>
      <c r="G12" s="1"/>
      <c r="H12" s="1"/>
    </row>
    <row r="13" spans="1:11" x14ac:dyDescent="0.3">
      <c r="A13" s="1" t="s">
        <v>41</v>
      </c>
      <c r="B13" s="2">
        <f>'Step 2 Magnetic Design'!E8</f>
        <v>0.3</v>
      </c>
      <c r="C13" s="1" t="s">
        <v>42</v>
      </c>
      <c r="D13" s="1"/>
      <c r="E13" s="1" t="s">
        <v>43</v>
      </c>
      <c r="F13" s="1">
        <v>3.1</v>
      </c>
      <c r="G13" s="1" t="s">
        <v>34</v>
      </c>
      <c r="H13" s="1"/>
    </row>
    <row r="14" spans="1:11" ht="16.2" x14ac:dyDescent="0.3">
      <c r="A14" s="1" t="s">
        <v>44</v>
      </c>
      <c r="B14" s="19">
        <f>F9</f>
        <v>7.4999999999999997E-2</v>
      </c>
      <c r="C14" s="1" t="s">
        <v>28</v>
      </c>
      <c r="D14" s="1"/>
      <c r="E14" s="1" t="s">
        <v>45</v>
      </c>
      <c r="F14" s="1">
        <v>3000</v>
      </c>
      <c r="G14" s="1"/>
      <c r="H14" s="1"/>
    </row>
    <row r="15" spans="1:11" x14ac:dyDescent="0.3">
      <c r="A15" s="1"/>
      <c r="B15" s="1"/>
      <c r="C15" s="1"/>
      <c r="D15" s="1"/>
      <c r="E15" s="1"/>
      <c r="F15" s="1"/>
      <c r="G15" s="1"/>
      <c r="H15" s="1"/>
    </row>
    <row r="16" spans="1:11" ht="16.2" x14ac:dyDescent="0.3">
      <c r="A16" s="1"/>
      <c r="B16" s="1"/>
      <c r="C16" s="1"/>
      <c r="D16" s="1"/>
      <c r="E16" s="1" t="s">
        <v>46</v>
      </c>
      <c r="F16" s="4">
        <f>F9*B12/B17</f>
        <v>6.2162442707971023E-4</v>
      </c>
      <c r="G16" s="1" t="s">
        <v>28</v>
      </c>
      <c r="H16" s="1"/>
      <c r="I16" s="1" t="s">
        <v>46</v>
      </c>
      <c r="J16" s="4">
        <f>'Step 1 Design Parameters'!T16*F9*B12/B17</f>
        <v>1.8648732812391305E-3</v>
      </c>
      <c r="K16" s="1" t="s">
        <v>28</v>
      </c>
    </row>
    <row r="17" spans="1:11" ht="16.2" x14ac:dyDescent="0.3">
      <c r="A17" s="1" t="s">
        <v>47</v>
      </c>
      <c r="B17" s="20">
        <f>B8*0.000001*B9/(B13*F8*0.0001)</f>
        <v>48.260651758707567</v>
      </c>
      <c r="C17" s="1"/>
      <c r="D17" s="1"/>
      <c r="E17" s="1" t="s">
        <v>48</v>
      </c>
      <c r="F17" s="3">
        <f>B10/F16</f>
        <v>350.53596211852255</v>
      </c>
      <c r="G17" s="1" t="s">
        <v>36</v>
      </c>
      <c r="H17" s="1"/>
      <c r="I17" s="1" t="s">
        <v>48</v>
      </c>
      <c r="J17" s="3">
        <f>'Step 1 Design Parameters'!T16*B10/J16</f>
        <v>350.5359621185226</v>
      </c>
      <c r="K17" s="1" t="s">
        <v>36</v>
      </c>
    </row>
    <row r="18" spans="1:11" x14ac:dyDescent="0.3">
      <c r="A18" s="1"/>
      <c r="B18" s="1"/>
      <c r="C18" s="1"/>
      <c r="D18" s="1"/>
      <c r="E18" s="1" t="s">
        <v>49</v>
      </c>
      <c r="F18" s="4">
        <f>SQRT(4*F16/3.1415)*10/25.4</f>
        <v>1.1076225348861076E-2</v>
      </c>
      <c r="G18" s="1" t="s">
        <v>50</v>
      </c>
      <c r="H18" s="1"/>
      <c r="I18" s="1" t="s">
        <v>49</v>
      </c>
      <c r="J18" s="4">
        <f>SQRT(4*J16/3.1415)*10/25.4</f>
        <v>1.9184585060309695E-2</v>
      </c>
      <c r="K18" s="1" t="s">
        <v>50</v>
      </c>
    </row>
    <row r="19" spans="1:11" x14ac:dyDescent="0.3">
      <c r="A19" s="1"/>
      <c r="B19" s="1"/>
      <c r="C19" s="1"/>
      <c r="D19" s="1"/>
      <c r="E19" s="1"/>
      <c r="F19" s="4">
        <f>F18*2.54</f>
        <v>2.8133612386107131E-2</v>
      </c>
      <c r="G19" s="1" t="s">
        <v>34</v>
      </c>
      <c r="H19" s="1"/>
      <c r="I19" s="1"/>
      <c r="J19" s="4">
        <f>J18*2.54</f>
        <v>4.8728846053186628E-2</v>
      </c>
      <c r="K19" s="1" t="s">
        <v>34</v>
      </c>
    </row>
    <row r="20" spans="1:11" ht="15.6" x14ac:dyDescent="0.35">
      <c r="A20" s="1" t="s">
        <v>51</v>
      </c>
      <c r="B20" s="20">
        <f>1000*B8/B17^2</f>
        <v>327.95344377694511</v>
      </c>
      <c r="C20" s="21" t="s">
        <v>52</v>
      </c>
      <c r="D20" s="1"/>
      <c r="E20" s="1"/>
      <c r="F20" s="22">
        <f>F19*10</f>
        <v>0.28133612386107132</v>
      </c>
      <c r="G20" s="1" t="s">
        <v>53</v>
      </c>
      <c r="H20" s="1"/>
      <c r="I20" s="1"/>
      <c r="J20" s="22">
        <f>J19*10</f>
        <v>0.48728846053186625</v>
      </c>
      <c r="K20" s="1" t="s">
        <v>53</v>
      </c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1"/>
      <c r="B22" s="1"/>
      <c r="C22" s="1"/>
      <c r="D22" s="1"/>
      <c r="E22" s="1" t="s">
        <v>54</v>
      </c>
      <c r="F22" s="23">
        <f>1000*F10*B17*P8/F16</f>
        <v>0</v>
      </c>
      <c r="G22" s="1" t="s">
        <v>55</v>
      </c>
      <c r="H22" s="1"/>
      <c r="I22" s="1" t="s">
        <v>54</v>
      </c>
      <c r="J22" s="23">
        <f>1000*J10*F17*T8/J16</f>
        <v>0</v>
      </c>
      <c r="K22" s="1" t="s">
        <v>55</v>
      </c>
    </row>
    <row r="23" spans="1:11" x14ac:dyDescent="0.3">
      <c r="A23" s="1"/>
      <c r="B23" s="28"/>
      <c r="C23" s="1"/>
      <c r="D23" s="1"/>
      <c r="E23" s="1"/>
      <c r="F23" s="23">
        <f>F22*(1+75*P9)</f>
        <v>0</v>
      </c>
      <c r="G23" s="1" t="s">
        <v>56</v>
      </c>
      <c r="H23" s="1"/>
      <c r="I23" s="1"/>
      <c r="J23" s="23">
        <f>J22*(1+75*T9)</f>
        <v>0</v>
      </c>
      <c r="K23" s="1" t="s">
        <v>56</v>
      </c>
    </row>
    <row r="24" spans="1:11" x14ac:dyDescent="0.3">
      <c r="A24" s="1" t="s">
        <v>123</v>
      </c>
      <c r="B24" s="1">
        <f>'Step 1 Design Parameters'!N13</f>
        <v>0.21790171662276159</v>
      </c>
      <c r="C24" s="1">
        <f>IF('Step 1 Design Parameters'!E22="Flyback",'Inductor Worksheet'!B24,B26)</f>
        <v>0.21790171662276159</v>
      </c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 t="s">
        <v>124</v>
      </c>
      <c r="B25" s="1">
        <f>'Step 1 Design Parameters'!N12</f>
        <v>0.79629422206855671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">
      <c r="A26" s="1"/>
      <c r="B26" s="1">
        <f>SQRT(SUMSQ(B24:B25))</f>
        <v>0.82556989177592599</v>
      </c>
      <c r="C26" s="1"/>
      <c r="D26" s="1"/>
      <c r="E26" s="1" t="s">
        <v>57</v>
      </c>
      <c r="F26" s="22">
        <f>B10^2*F22*0.001</f>
        <v>0</v>
      </c>
      <c r="G26" s="1" t="s">
        <v>58</v>
      </c>
      <c r="H26" s="1"/>
      <c r="I26" s="1" t="s">
        <v>57</v>
      </c>
      <c r="J26" s="22">
        <f>F10^2*J22*0.001</f>
        <v>0</v>
      </c>
      <c r="K26" s="1" t="s">
        <v>58</v>
      </c>
    </row>
    <row r="27" spans="1:11" x14ac:dyDescent="0.3">
      <c r="A27" s="1"/>
      <c r="B27" s="1"/>
      <c r="C27" s="1"/>
      <c r="D27" s="1"/>
      <c r="E27" s="1"/>
      <c r="F27" s="22">
        <f>B10^2*F23/1000</f>
        <v>0</v>
      </c>
      <c r="G27" s="1" t="s">
        <v>59</v>
      </c>
      <c r="H27" s="1"/>
      <c r="I27" s="1"/>
      <c r="J27" s="22">
        <f>F10^2*J23/1000</f>
        <v>0</v>
      </c>
      <c r="K27" s="1" t="s">
        <v>59</v>
      </c>
    </row>
    <row r="28" spans="1:1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6" x14ac:dyDescent="0.3">
      <c r="A29" s="1"/>
      <c r="B29" s="1"/>
      <c r="C29" s="1"/>
      <c r="D29" s="1"/>
      <c r="E29" s="1" t="s">
        <v>60</v>
      </c>
      <c r="F29" s="24">
        <f>-39*LOG(F18/0.005,92)+36</f>
        <v>29.140068809633135</v>
      </c>
      <c r="G29" s="1" t="s">
        <v>61</v>
      </c>
      <c r="H29" s="1"/>
      <c r="I29" s="1" t="s">
        <v>60</v>
      </c>
      <c r="J29" s="24">
        <f>-39*LOG(J18/0.005,92)+36</f>
        <v>24.40235512311466</v>
      </c>
      <c r="K29" s="1" t="s">
        <v>61</v>
      </c>
    </row>
    <row r="30" spans="1:11" x14ac:dyDescent="0.3">
      <c r="A30" s="1"/>
      <c r="B30" s="1"/>
      <c r="C30" s="1"/>
      <c r="D30" s="1"/>
      <c r="E30" s="1"/>
      <c r="F30" s="1"/>
      <c r="G30" s="1"/>
      <c r="H30" s="1"/>
    </row>
    <row r="31" spans="1:11" x14ac:dyDescent="0.3">
      <c r="A31" s="1"/>
      <c r="B31" s="1"/>
      <c r="C31" s="1"/>
      <c r="D31" s="1"/>
      <c r="E31" s="1"/>
      <c r="F31" s="1"/>
      <c r="G31" s="1"/>
      <c r="H31" s="1"/>
    </row>
    <row r="32" spans="1:11" x14ac:dyDescent="0.3">
      <c r="A32" s="1"/>
      <c r="B32" s="1"/>
      <c r="C32" s="1"/>
      <c r="D32" s="1"/>
      <c r="E32" s="1"/>
      <c r="F32" s="1"/>
      <c r="G32" s="1"/>
      <c r="H32" s="1"/>
    </row>
    <row r="33" spans="1:8" ht="15.6" x14ac:dyDescent="0.3">
      <c r="A33" s="1"/>
      <c r="B33" s="1"/>
      <c r="C33" s="1"/>
      <c r="D33" s="1"/>
      <c r="E33" s="1"/>
      <c r="F33" s="14" t="s">
        <v>62</v>
      </c>
      <c r="G33" s="1"/>
      <c r="H33" s="1"/>
    </row>
    <row r="34" spans="1:8" x14ac:dyDescent="0.3">
      <c r="A34" s="1"/>
      <c r="B34" s="1"/>
      <c r="C34" s="1"/>
      <c r="D34" s="1"/>
      <c r="E34" s="1" t="s">
        <v>63</v>
      </c>
      <c r="F34" s="18">
        <v>5</v>
      </c>
      <c r="G34" s="1" t="s">
        <v>30</v>
      </c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 t="s">
        <v>64</v>
      </c>
      <c r="F36" s="25">
        <f>B13*(F34/B9)</f>
        <v>2.5202622521000047</v>
      </c>
      <c r="G36" s="1" t="s">
        <v>42</v>
      </c>
      <c r="H36" s="1"/>
    </row>
    <row r="37" spans="1:8" x14ac:dyDescent="0.3">
      <c r="A37" s="1"/>
      <c r="B37" s="1"/>
      <c r="C37" s="1"/>
      <c r="D37" s="1"/>
      <c r="E37" s="1"/>
      <c r="F37" s="3">
        <f>F36*10000</f>
        <v>25202.622521000045</v>
      </c>
      <c r="G37" s="1" t="s">
        <v>65</v>
      </c>
      <c r="H37" s="1"/>
    </row>
    <row r="38" spans="1:8" x14ac:dyDescent="0.3">
      <c r="A38" s="1"/>
      <c r="B38" s="1"/>
      <c r="C38" s="1"/>
      <c r="D38" s="1"/>
      <c r="E38" s="1"/>
      <c r="F38" s="3">
        <f>F36*1000</f>
        <v>2520.2622521000048</v>
      </c>
      <c r="G38" s="1" t="s">
        <v>66</v>
      </c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 t="s">
        <v>67</v>
      </c>
      <c r="F40" s="4">
        <f>0.5*F36</f>
        <v>1.2601311260500023</v>
      </c>
      <c r="G40" s="1" t="s">
        <v>42</v>
      </c>
      <c r="H40" s="1"/>
    </row>
    <row r="41" spans="1:8" x14ac:dyDescent="0.3">
      <c r="A41" s="1"/>
      <c r="B41" s="1"/>
      <c r="C41" s="1"/>
      <c r="D41" s="1"/>
      <c r="E41" s="1"/>
      <c r="F41" s="3">
        <f>0.5*F37</f>
        <v>12601.311260500022</v>
      </c>
      <c r="G41" s="1" t="s">
        <v>65</v>
      </c>
      <c r="H41" s="1"/>
    </row>
    <row r="42" spans="1:8" x14ac:dyDescent="0.3">
      <c r="A42" s="1"/>
      <c r="B42" s="1"/>
      <c r="C42" s="1"/>
      <c r="D42" s="1"/>
      <c r="E42" s="1"/>
      <c r="F42" s="3">
        <f>0.5*F38</f>
        <v>1260.1311260500024</v>
      </c>
      <c r="G42" s="1" t="s">
        <v>66</v>
      </c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ht="16.2" x14ac:dyDescent="0.3">
      <c r="A44" s="1"/>
      <c r="B44" s="1"/>
      <c r="C44" s="1"/>
      <c r="D44" s="1"/>
      <c r="E44" s="1" t="s">
        <v>68</v>
      </c>
      <c r="F44" s="18">
        <v>120</v>
      </c>
      <c r="G44" s="1" t="s">
        <v>69</v>
      </c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 t="s">
        <v>70</v>
      </c>
      <c r="F46" s="1">
        <f>F44*F11</f>
        <v>90</v>
      </c>
      <c r="G46" s="1" t="s">
        <v>71</v>
      </c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sheetProtection password="DD03" sheet="1" objects="1" scenario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7"/>
  <sheetViews>
    <sheetView topLeftCell="A4" workbookViewId="0">
      <selection activeCell="B11" sqref="B11"/>
    </sheetView>
  </sheetViews>
  <sheetFormatPr defaultRowHeight="14.4" x14ac:dyDescent="0.3"/>
  <cols>
    <col min="1" max="1" width="24" bestFit="1" customWidth="1"/>
    <col min="2" max="2" width="19.33203125" bestFit="1" customWidth="1"/>
    <col min="3" max="3" width="15.33203125" bestFit="1" customWidth="1"/>
    <col min="5" max="5" width="30.6640625" bestFit="1" customWidth="1"/>
    <col min="6" max="6" width="19.109375" bestFit="1" customWidth="1"/>
    <col min="7" max="7" width="18" bestFit="1" customWidth="1"/>
    <col min="8" max="8" width="4.5546875" bestFit="1" customWidth="1"/>
    <col min="9" max="9" width="25" bestFit="1" customWidth="1"/>
    <col min="10" max="10" width="8.44140625" bestFit="1" customWidth="1"/>
    <col min="11" max="11" width="18" bestFit="1" customWidth="1"/>
  </cols>
  <sheetData>
    <row r="3" spans="1:11" ht="20.399999999999999" x14ac:dyDescent="0.35">
      <c r="A3" s="1"/>
      <c r="B3" s="1"/>
      <c r="C3" s="1"/>
      <c r="D3" s="1"/>
      <c r="E3" s="31" t="str">
        <f>IF(B5&lt;G5,"Good Fit","Too Small")</f>
        <v>Good Fit</v>
      </c>
      <c r="F3" s="1"/>
      <c r="G3" s="1"/>
      <c r="H3" s="1"/>
      <c r="K3" s="30"/>
    </row>
    <row r="4" spans="1:11" x14ac:dyDescent="0.3">
      <c r="A4" s="1"/>
      <c r="B4" s="1"/>
      <c r="C4" s="1"/>
      <c r="D4" s="1"/>
      <c r="E4" s="1"/>
      <c r="F4" s="1"/>
      <c r="G4" s="1"/>
      <c r="H4" s="1"/>
    </row>
    <row r="5" spans="1:11" ht="18" x14ac:dyDescent="0.3">
      <c r="A5" s="14" t="s">
        <v>21</v>
      </c>
      <c r="B5" s="15">
        <f>(B8*0.01*B9*B10)/(B11*B12*B13)</f>
        <v>1.3758536513152012E-2</v>
      </c>
      <c r="C5" s="14" t="s">
        <v>22</v>
      </c>
      <c r="D5" s="16"/>
      <c r="E5" s="16"/>
      <c r="F5" s="14" t="s">
        <v>23</v>
      </c>
      <c r="G5" s="15">
        <f>F8*F9</f>
        <v>5.6024999999999998E-2</v>
      </c>
      <c r="H5" s="14" t="s">
        <v>22</v>
      </c>
    </row>
    <row r="6" spans="1:11" x14ac:dyDescent="0.3">
      <c r="A6" s="1"/>
      <c r="B6" s="1"/>
      <c r="C6" s="1"/>
      <c r="D6" s="1"/>
      <c r="E6" s="1"/>
      <c r="F6" s="1"/>
      <c r="G6" s="1"/>
      <c r="H6" s="1"/>
    </row>
    <row r="7" spans="1:11" x14ac:dyDescent="0.3">
      <c r="A7" s="1"/>
      <c r="B7" s="17" t="s">
        <v>24</v>
      </c>
      <c r="C7" s="1"/>
      <c r="D7" s="1"/>
      <c r="E7" s="1"/>
      <c r="F7" s="17" t="s">
        <v>25</v>
      </c>
      <c r="G7" s="1"/>
      <c r="H7" s="1"/>
    </row>
    <row r="8" spans="1:11" ht="16.2" x14ac:dyDescent="0.3">
      <c r="A8" s="1" t="s">
        <v>26</v>
      </c>
      <c r="B8" s="26">
        <f>'Step 1 Design Parameters'!N10</f>
        <v>763.83325302426636</v>
      </c>
      <c r="C8" s="1" t="s">
        <v>19</v>
      </c>
      <c r="D8" s="1"/>
      <c r="E8" s="1" t="s">
        <v>27</v>
      </c>
      <c r="F8" s="2">
        <f>'Step 2 Magnetic Design'!C9/100</f>
        <v>0.41499999999999998</v>
      </c>
      <c r="G8" s="1" t="s">
        <v>28</v>
      </c>
      <c r="H8" s="1"/>
      <c r="J8">
        <f>IF('Step 1 Design Parameters'!E22="Flyback",2,1)</f>
        <v>2</v>
      </c>
    </row>
    <row r="9" spans="1:11" ht="16.2" x14ac:dyDescent="0.3">
      <c r="A9" s="1" t="s">
        <v>29</v>
      </c>
      <c r="B9" s="27">
        <f>'Step 1 Design Parameters'!N11</f>
        <v>0.59517615627108933</v>
      </c>
      <c r="C9" s="1" t="s">
        <v>30</v>
      </c>
      <c r="D9" s="1"/>
      <c r="E9" s="1" t="s">
        <v>31</v>
      </c>
      <c r="F9" s="2">
        <f>'Step 2 Magnetic Design'!D9/(J8*100)</f>
        <v>0.13500000000000001</v>
      </c>
      <c r="G9" s="1" t="s">
        <v>28</v>
      </c>
      <c r="H9" s="1"/>
    </row>
    <row r="10" spans="1:11" x14ac:dyDescent="0.3">
      <c r="A10" s="1" t="s">
        <v>32</v>
      </c>
      <c r="B10" s="27">
        <f>C24</f>
        <v>0.21790171662276159</v>
      </c>
      <c r="C10" s="1" t="s">
        <v>30</v>
      </c>
      <c r="D10" s="1"/>
      <c r="E10" s="1" t="s">
        <v>33</v>
      </c>
      <c r="F10" s="2">
        <v>1.8</v>
      </c>
      <c r="G10" s="1" t="s">
        <v>34</v>
      </c>
      <c r="H10" s="1"/>
    </row>
    <row r="11" spans="1:11" ht="16.2" x14ac:dyDescent="0.3">
      <c r="A11" s="1" t="s">
        <v>35</v>
      </c>
      <c r="B11" s="2">
        <f>'Step 2 Magnetic Design'!G9</f>
        <v>600</v>
      </c>
      <c r="C11" s="1" t="s">
        <v>36</v>
      </c>
      <c r="D11" s="1"/>
      <c r="E11" s="1" t="s">
        <v>37</v>
      </c>
      <c r="F11" s="2">
        <v>0.75</v>
      </c>
      <c r="G11" s="1" t="s">
        <v>38</v>
      </c>
      <c r="H11" s="1"/>
    </row>
    <row r="12" spans="1:11" ht="16.2" x14ac:dyDescent="0.3">
      <c r="A12" s="1" t="s">
        <v>39</v>
      </c>
      <c r="B12" s="2">
        <f>'Step 2 Magnetic Design'!F9</f>
        <v>0.4</v>
      </c>
      <c r="C12" s="1"/>
      <c r="D12" s="1"/>
      <c r="E12" s="1" t="s">
        <v>40</v>
      </c>
      <c r="F12" s="3">
        <f>B17/(F9*0.4*0.4*B12)</f>
        <v>4226.3065183607132</v>
      </c>
      <c r="G12" s="1"/>
      <c r="H12" s="1"/>
    </row>
    <row r="13" spans="1:11" x14ac:dyDescent="0.3">
      <c r="A13" s="1" t="s">
        <v>41</v>
      </c>
      <c r="B13" s="2">
        <f>'Step 2 Magnetic Design'!E9</f>
        <v>0.3</v>
      </c>
      <c r="C13" s="1" t="s">
        <v>42</v>
      </c>
      <c r="D13" s="1"/>
      <c r="E13" s="1" t="s">
        <v>43</v>
      </c>
      <c r="F13" s="1">
        <v>3.1</v>
      </c>
      <c r="G13" s="1" t="s">
        <v>34</v>
      </c>
      <c r="H13" s="1"/>
    </row>
    <row r="14" spans="1:11" ht="16.2" x14ac:dyDescent="0.3">
      <c r="A14" s="1" t="s">
        <v>44</v>
      </c>
      <c r="B14" s="19">
        <f>F9</f>
        <v>0.13500000000000001</v>
      </c>
      <c r="C14" s="1" t="s">
        <v>28</v>
      </c>
      <c r="D14" s="1"/>
      <c r="E14" s="1" t="s">
        <v>45</v>
      </c>
      <c r="F14" s="1">
        <v>3000</v>
      </c>
      <c r="G14" s="1"/>
      <c r="H14" s="1"/>
    </row>
    <row r="15" spans="1:11" x14ac:dyDescent="0.3">
      <c r="A15" s="1"/>
      <c r="B15" s="1"/>
      <c r="C15" s="1"/>
      <c r="D15" s="1"/>
      <c r="E15" s="1"/>
      <c r="F15" s="1"/>
      <c r="G15" s="1"/>
      <c r="H15" s="1"/>
    </row>
    <row r="16" spans="1:11" ht="16.2" x14ac:dyDescent="0.3">
      <c r="A16" s="1"/>
      <c r="B16" s="1"/>
      <c r="C16" s="1"/>
      <c r="D16" s="1"/>
      <c r="E16" s="1" t="s">
        <v>46</v>
      </c>
      <c r="F16" s="4">
        <f>F9*B12/B17</f>
        <v>1.4788326338488647E-3</v>
      </c>
      <c r="G16" s="1" t="s">
        <v>28</v>
      </c>
      <c r="H16" s="1"/>
      <c r="I16" s="1" t="s">
        <v>46</v>
      </c>
      <c r="J16" s="4">
        <f>'Step 1 Design Parameters'!T16*F9*B12/B17</f>
        <v>4.4364979015465945E-3</v>
      </c>
      <c r="K16" s="1" t="s">
        <v>28</v>
      </c>
    </row>
    <row r="17" spans="1:11" ht="16.2" x14ac:dyDescent="0.3">
      <c r="A17" s="1" t="s">
        <v>47</v>
      </c>
      <c r="B17" s="20">
        <f>B8*0.000001*B9/(B13*F8*0.0001)</f>
        <v>36.515288318636571</v>
      </c>
      <c r="C17" s="1"/>
      <c r="D17" s="1"/>
      <c r="E17" s="1" t="s">
        <v>48</v>
      </c>
      <c r="F17" s="3">
        <f>B10/F16</f>
        <v>147.34711125196264</v>
      </c>
      <c r="G17" s="1" t="s">
        <v>36</v>
      </c>
      <c r="H17" s="1"/>
      <c r="I17" s="1" t="s">
        <v>48</v>
      </c>
      <c r="J17" s="3">
        <f>'Step 1 Design Parameters'!T16*B10/J16</f>
        <v>147.34711125196262</v>
      </c>
      <c r="K17" s="1" t="s">
        <v>36</v>
      </c>
    </row>
    <row r="18" spans="1:11" x14ac:dyDescent="0.3">
      <c r="A18" s="1"/>
      <c r="B18" s="1"/>
      <c r="C18" s="1"/>
      <c r="D18" s="1"/>
      <c r="E18" s="1" t="s">
        <v>49</v>
      </c>
      <c r="F18" s="4">
        <f>SQRT(4*F16/3.1415)*10/25.4</f>
        <v>1.7083909411043471E-2</v>
      </c>
      <c r="G18" s="1" t="s">
        <v>50</v>
      </c>
      <c r="H18" s="1"/>
      <c r="I18" s="1" t="s">
        <v>49</v>
      </c>
      <c r="J18" s="4">
        <f>SQRT(4*J16/3.1415)*10/25.4</f>
        <v>2.9590199091831391E-2</v>
      </c>
      <c r="K18" s="1" t="s">
        <v>50</v>
      </c>
    </row>
    <row r="19" spans="1:11" x14ac:dyDescent="0.3">
      <c r="A19" s="1"/>
      <c r="B19" s="1"/>
      <c r="C19" s="1"/>
      <c r="D19" s="1"/>
      <c r="E19" s="1"/>
      <c r="F19" s="4">
        <f>F18*2.54</f>
        <v>4.339312990405042E-2</v>
      </c>
      <c r="G19" s="1" t="s">
        <v>34</v>
      </c>
      <c r="H19" s="1"/>
      <c r="I19" s="1"/>
      <c r="J19" s="4">
        <f>J18*2.54</f>
        <v>7.5159105693251738E-2</v>
      </c>
      <c r="K19" s="1" t="s">
        <v>34</v>
      </c>
    </row>
    <row r="20" spans="1:11" ht="15.6" x14ac:dyDescent="0.35">
      <c r="A20" s="1" t="s">
        <v>51</v>
      </c>
      <c r="B20" s="20">
        <f>1000*B8/B17^2</f>
        <v>572.8607839515231</v>
      </c>
      <c r="C20" s="21" t="s">
        <v>52</v>
      </c>
      <c r="D20" s="1"/>
      <c r="E20" s="1"/>
      <c r="F20" s="22">
        <f>F19*10</f>
        <v>0.4339312990405042</v>
      </c>
      <c r="G20" s="1" t="s">
        <v>53</v>
      </c>
      <c r="H20" s="1"/>
      <c r="I20" s="1"/>
      <c r="J20" s="22">
        <f>J19*10</f>
        <v>0.75159105693251738</v>
      </c>
      <c r="K20" s="1" t="s">
        <v>53</v>
      </c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1"/>
      <c r="B22" s="1"/>
      <c r="C22" s="1"/>
      <c r="D22" s="1"/>
      <c r="E22" s="1" t="s">
        <v>54</v>
      </c>
      <c r="F22" s="23">
        <f>1000*F10*B17*P8/F16</f>
        <v>0</v>
      </c>
      <c r="G22" s="1" t="s">
        <v>55</v>
      </c>
      <c r="H22" s="1"/>
      <c r="I22" s="1" t="s">
        <v>54</v>
      </c>
      <c r="J22" s="23">
        <f>1000*J10*F17*T8/J16</f>
        <v>0</v>
      </c>
      <c r="K22" s="1" t="s">
        <v>55</v>
      </c>
    </row>
    <row r="23" spans="1:11" x14ac:dyDescent="0.3">
      <c r="A23" s="1"/>
      <c r="B23" s="28"/>
      <c r="C23" s="1"/>
      <c r="D23" s="1"/>
      <c r="E23" s="1"/>
      <c r="F23" s="23">
        <f>F22*(1+75*P9)</f>
        <v>0</v>
      </c>
      <c r="G23" s="1" t="s">
        <v>56</v>
      </c>
      <c r="H23" s="1"/>
      <c r="I23" s="1"/>
      <c r="J23" s="23">
        <f>J22*(1+75*T9)</f>
        <v>0</v>
      </c>
      <c r="K23" s="1" t="s">
        <v>56</v>
      </c>
    </row>
    <row r="24" spans="1:11" x14ac:dyDescent="0.3">
      <c r="A24" s="1" t="s">
        <v>123</v>
      </c>
      <c r="B24" s="1">
        <f>'Step 1 Design Parameters'!N13</f>
        <v>0.21790171662276159</v>
      </c>
      <c r="C24" s="1">
        <f>IF('Step 1 Design Parameters'!E22="Flyback",'Inductor Worksheet'!B24,B26)</f>
        <v>0.21790171662276159</v>
      </c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 t="s">
        <v>124</v>
      </c>
      <c r="B25" s="1">
        <f>'Step 1 Design Parameters'!N12</f>
        <v>0.79629422206855671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">
      <c r="A26" s="1"/>
      <c r="B26" s="1">
        <f>SQRT(SUMSQ(B24:B25))</f>
        <v>0.82556989177592599</v>
      </c>
      <c r="C26" s="1"/>
      <c r="D26" s="1"/>
      <c r="E26" s="1" t="s">
        <v>57</v>
      </c>
      <c r="F26" s="22">
        <f>B10^2*F22*0.001</f>
        <v>0</v>
      </c>
      <c r="G26" s="1" t="s">
        <v>58</v>
      </c>
      <c r="H26" s="1"/>
      <c r="I26" s="1" t="s">
        <v>57</v>
      </c>
      <c r="J26" s="22">
        <f>F10^2*J22*0.001</f>
        <v>0</v>
      </c>
      <c r="K26" s="1" t="s">
        <v>58</v>
      </c>
    </row>
    <row r="27" spans="1:11" x14ac:dyDescent="0.3">
      <c r="A27" s="1"/>
      <c r="B27" s="1"/>
      <c r="C27" s="1"/>
      <c r="D27" s="1"/>
      <c r="E27" s="1"/>
      <c r="F27" s="22">
        <f>B10^2*F23/1000</f>
        <v>0</v>
      </c>
      <c r="G27" s="1" t="s">
        <v>59</v>
      </c>
      <c r="H27" s="1"/>
      <c r="I27" s="1"/>
      <c r="J27" s="22">
        <f>F10^2*J23/1000</f>
        <v>0</v>
      </c>
      <c r="K27" s="1" t="s">
        <v>59</v>
      </c>
    </row>
    <row r="28" spans="1:1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6" x14ac:dyDescent="0.3">
      <c r="A29" s="1"/>
      <c r="B29" s="1"/>
      <c r="C29" s="1"/>
      <c r="D29" s="1"/>
      <c r="E29" s="1" t="s">
        <v>60</v>
      </c>
      <c r="F29" s="24">
        <f>-39*LOG(F18/0.005,92)+36</f>
        <v>25.402585821008273</v>
      </c>
      <c r="G29" s="1" t="s">
        <v>61</v>
      </c>
      <c r="H29" s="1"/>
      <c r="I29" s="1" t="s">
        <v>60</v>
      </c>
      <c r="J29" s="24">
        <f>-39*LOG(J18/0.005,92)+36</f>
        <v>20.664872134489798</v>
      </c>
      <c r="K29" s="1" t="s">
        <v>61</v>
      </c>
    </row>
    <row r="30" spans="1:11" x14ac:dyDescent="0.3">
      <c r="A30" s="1"/>
      <c r="B30" s="1"/>
      <c r="C30" s="1"/>
      <c r="D30" s="1"/>
      <c r="E30" s="1"/>
      <c r="F30" s="1"/>
      <c r="G30" s="1"/>
      <c r="H30" s="1"/>
    </row>
    <row r="31" spans="1:11" x14ac:dyDescent="0.3">
      <c r="A31" s="1"/>
      <c r="B31" s="1"/>
      <c r="C31" s="1"/>
      <c r="D31" s="1"/>
      <c r="E31" s="1"/>
      <c r="F31" s="1"/>
      <c r="G31" s="1"/>
      <c r="H31" s="1"/>
    </row>
    <row r="32" spans="1:11" x14ac:dyDescent="0.3">
      <c r="A32" s="1"/>
      <c r="B32" s="1"/>
      <c r="C32" s="1"/>
      <c r="D32" s="1"/>
      <c r="E32" s="1"/>
      <c r="F32" s="1"/>
      <c r="G32" s="1"/>
      <c r="H32" s="1"/>
    </row>
    <row r="33" spans="1:8" ht="15.6" x14ac:dyDescent="0.3">
      <c r="A33" s="1"/>
      <c r="B33" s="1"/>
      <c r="C33" s="1"/>
      <c r="D33" s="1"/>
      <c r="E33" s="1"/>
      <c r="F33" s="14" t="s">
        <v>62</v>
      </c>
      <c r="G33" s="1"/>
      <c r="H33" s="1"/>
    </row>
    <row r="34" spans="1:8" x14ac:dyDescent="0.3">
      <c r="A34" s="1"/>
      <c r="B34" s="1"/>
      <c r="C34" s="1"/>
      <c r="D34" s="1"/>
      <c r="E34" s="1" t="s">
        <v>63</v>
      </c>
      <c r="F34" s="18">
        <v>5</v>
      </c>
      <c r="G34" s="1" t="s">
        <v>30</v>
      </c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 t="s">
        <v>64</v>
      </c>
      <c r="F36" s="25">
        <f>B13*(F34/B9)</f>
        <v>2.5202622521000047</v>
      </c>
      <c r="G36" s="1" t="s">
        <v>42</v>
      </c>
      <c r="H36" s="1"/>
    </row>
    <row r="37" spans="1:8" x14ac:dyDescent="0.3">
      <c r="A37" s="1"/>
      <c r="B37" s="1"/>
      <c r="C37" s="1"/>
      <c r="D37" s="1"/>
      <c r="E37" s="1"/>
      <c r="F37" s="3">
        <f>F36*10000</f>
        <v>25202.622521000045</v>
      </c>
      <c r="G37" s="1" t="s">
        <v>65</v>
      </c>
      <c r="H37" s="1"/>
    </row>
    <row r="38" spans="1:8" x14ac:dyDescent="0.3">
      <c r="A38" s="1"/>
      <c r="B38" s="1"/>
      <c r="C38" s="1"/>
      <c r="D38" s="1"/>
      <c r="E38" s="1"/>
      <c r="F38" s="3">
        <f>F36*1000</f>
        <v>2520.2622521000048</v>
      </c>
      <c r="G38" s="1" t="s">
        <v>66</v>
      </c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 t="s">
        <v>67</v>
      </c>
      <c r="F40" s="4">
        <f>0.5*F36</f>
        <v>1.2601311260500023</v>
      </c>
      <c r="G40" s="1" t="s">
        <v>42</v>
      </c>
      <c r="H40" s="1"/>
    </row>
    <row r="41" spans="1:8" x14ac:dyDescent="0.3">
      <c r="A41" s="1"/>
      <c r="B41" s="1"/>
      <c r="C41" s="1"/>
      <c r="D41" s="1"/>
      <c r="E41" s="1"/>
      <c r="F41" s="3">
        <f>0.5*F37</f>
        <v>12601.311260500022</v>
      </c>
      <c r="G41" s="1" t="s">
        <v>65</v>
      </c>
      <c r="H41" s="1"/>
    </row>
    <row r="42" spans="1:8" x14ac:dyDescent="0.3">
      <c r="A42" s="1"/>
      <c r="B42" s="1"/>
      <c r="C42" s="1"/>
      <c r="D42" s="1"/>
      <c r="E42" s="1"/>
      <c r="F42" s="3">
        <f>0.5*F38</f>
        <v>1260.1311260500024</v>
      </c>
      <c r="G42" s="1" t="s">
        <v>66</v>
      </c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ht="16.2" x14ac:dyDescent="0.3">
      <c r="A44" s="1"/>
      <c r="B44" s="1"/>
      <c r="C44" s="1"/>
      <c r="D44" s="1"/>
      <c r="E44" s="1" t="s">
        <v>68</v>
      </c>
      <c r="F44" s="18">
        <v>120</v>
      </c>
      <c r="G44" s="1" t="s">
        <v>69</v>
      </c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 t="s">
        <v>70</v>
      </c>
      <c r="F46" s="1">
        <f>F44*F11</f>
        <v>90</v>
      </c>
      <c r="G46" s="1" t="s">
        <v>71</v>
      </c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sheetProtection password="DD03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opLeftCell="A7" zoomScale="90" zoomScaleNormal="90" workbookViewId="0">
      <selection activeCell="F4" sqref="F4:G4"/>
    </sheetView>
  </sheetViews>
  <sheetFormatPr defaultRowHeight="14.4" x14ac:dyDescent="0.3"/>
  <sheetData>
    <row r="1" spans="1:1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5.8" x14ac:dyDescent="0.5">
      <c r="A2" s="32"/>
      <c r="B2" s="164" t="s">
        <v>156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81"/>
    </row>
    <row r="3" spans="1:15" ht="12.75" customHeight="1" x14ac:dyDescent="0.5">
      <c r="A3" s="3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1"/>
    </row>
    <row r="4" spans="1:15" x14ac:dyDescent="0.3">
      <c r="A4" s="32"/>
      <c r="B4" s="32"/>
      <c r="C4" s="32"/>
      <c r="D4" s="32"/>
      <c r="E4" s="32"/>
      <c r="F4" s="163" t="s">
        <v>141</v>
      </c>
      <c r="G4" s="163"/>
      <c r="H4" s="83">
        <v>100</v>
      </c>
      <c r="I4" s="84" t="s">
        <v>142</v>
      </c>
      <c r="J4" s="32"/>
      <c r="K4" s="32"/>
      <c r="L4" s="32"/>
      <c r="M4" s="32"/>
      <c r="N4" s="32"/>
      <c r="O4" s="32"/>
    </row>
    <row r="5" spans="1:15" x14ac:dyDescent="0.3">
      <c r="A5" s="32"/>
      <c r="B5" s="32"/>
      <c r="C5" s="32"/>
      <c r="D5" s="32"/>
      <c r="E5" s="32"/>
      <c r="F5" s="163" t="s">
        <v>145</v>
      </c>
      <c r="G5" s="163"/>
      <c r="H5" s="83">
        <v>1</v>
      </c>
      <c r="I5" s="84" t="s">
        <v>142</v>
      </c>
      <c r="J5" s="32"/>
      <c r="K5" s="32"/>
      <c r="L5" s="32"/>
      <c r="M5" s="32"/>
      <c r="N5" s="32"/>
      <c r="O5" s="32"/>
    </row>
    <row r="6" spans="1:15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x14ac:dyDescent="0.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</sheetData>
  <sheetProtection password="DD03" sheet="1" objects="1" scenarios="1"/>
  <mergeCells count="3">
    <mergeCell ref="F4:G4"/>
    <mergeCell ref="F5:G5"/>
    <mergeCell ref="B2:N2"/>
  </mergeCells>
  <dataValidations count="1">
    <dataValidation type="decimal" allowBlank="1" showInputMessage="1" showErrorMessage="1" sqref="H5">
      <formula1>0</formula1>
      <formula2>1000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'TCO Worksheet'!$W$29:$W$35</xm:f>
          </x14:formula1>
          <xm:sqref>H4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opLeftCell="A112" workbookViewId="0">
      <selection activeCell="R9" sqref="R9:S134"/>
    </sheetView>
  </sheetViews>
  <sheetFormatPr defaultColWidth="9.109375" defaultRowHeight="14.4" x14ac:dyDescent="0.3"/>
  <cols>
    <col min="1" max="20" width="9.109375" style="1"/>
    <col min="21" max="21" width="10.44140625" style="1" customWidth="1"/>
    <col min="22" max="16384" width="9.109375" style="1"/>
  </cols>
  <sheetData>
    <row r="1" spans="1:21" ht="28.5" customHeight="1" x14ac:dyDescent="0.5">
      <c r="A1" s="165" t="s">
        <v>140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85"/>
      <c r="N1" s="85"/>
      <c r="O1" s="85"/>
      <c r="P1" s="85"/>
      <c r="Q1" s="85"/>
      <c r="R1" s="85"/>
      <c r="S1" s="85"/>
    </row>
    <row r="4" spans="1:21" x14ac:dyDescent="0.3">
      <c r="C4" s="166" t="s">
        <v>141</v>
      </c>
      <c r="D4" s="166"/>
      <c r="E4" s="46">
        <f>'Step 3 Thermal Protection'!H4</f>
        <v>100</v>
      </c>
      <c r="F4" s="46" t="s">
        <v>142</v>
      </c>
      <c r="G4" s="86"/>
      <c r="H4" s="86"/>
      <c r="I4" s="86"/>
      <c r="J4" s="86"/>
      <c r="K4" s="86"/>
    </row>
    <row r="5" spans="1:21" x14ac:dyDescent="0.3">
      <c r="C5" s="166" t="s">
        <v>143</v>
      </c>
      <c r="D5" s="166"/>
      <c r="E5" s="46">
        <f>85</f>
        <v>85</v>
      </c>
      <c r="F5" s="79" t="s">
        <v>144</v>
      </c>
      <c r="G5" s="87"/>
      <c r="H5" s="87"/>
      <c r="I5" s="87"/>
      <c r="J5" s="87"/>
      <c r="K5" s="87"/>
    </row>
    <row r="6" spans="1:21" x14ac:dyDescent="0.3">
      <c r="C6" s="166" t="s">
        <v>145</v>
      </c>
      <c r="D6" s="166"/>
      <c r="E6" s="46">
        <f>'Step 3 Thermal Protection'!H5</f>
        <v>1</v>
      </c>
      <c r="F6" s="46" t="s">
        <v>142</v>
      </c>
      <c r="G6" s="86"/>
      <c r="H6" s="86"/>
      <c r="I6" s="86"/>
      <c r="J6" s="86">
        <v>80</v>
      </c>
      <c r="K6" s="86">
        <v>85</v>
      </c>
      <c r="L6" s="1">
        <v>90</v>
      </c>
    </row>
    <row r="7" spans="1:21" x14ac:dyDescent="0.3">
      <c r="J7" s="167" t="s">
        <v>148</v>
      </c>
      <c r="K7" s="167"/>
      <c r="L7" s="167"/>
    </row>
    <row r="8" spans="1:21" x14ac:dyDescent="0.3">
      <c r="C8" s="1" t="s">
        <v>146</v>
      </c>
      <c r="D8" s="1" t="s">
        <v>147</v>
      </c>
      <c r="E8" s="1" t="str">
        <f>C8</f>
        <v>Temp</v>
      </c>
      <c r="F8" s="1" t="s">
        <v>148</v>
      </c>
      <c r="H8" s="1" t="s">
        <v>146</v>
      </c>
      <c r="I8" s="1" t="s">
        <v>147</v>
      </c>
      <c r="J8" s="1" t="s">
        <v>151</v>
      </c>
      <c r="K8" s="1" t="s">
        <v>152</v>
      </c>
      <c r="L8" s="1" t="s">
        <v>153</v>
      </c>
      <c r="P8" s="1" t="str">
        <f>H8</f>
        <v>Temp</v>
      </c>
      <c r="Q8" s="1" t="s">
        <v>151</v>
      </c>
      <c r="R8" s="1" t="s">
        <v>152</v>
      </c>
      <c r="S8" s="1" t="s">
        <v>153</v>
      </c>
      <c r="T8" s="1" t="str">
        <f>E8</f>
        <v>Temp</v>
      </c>
      <c r="U8" s="1" t="s">
        <v>149</v>
      </c>
    </row>
    <row r="9" spans="1:21" x14ac:dyDescent="0.3">
      <c r="C9" s="1">
        <v>25</v>
      </c>
      <c r="D9" s="1">
        <v>1</v>
      </c>
      <c r="E9" s="1">
        <f t="shared" ref="E9:E34" si="0">C9</f>
        <v>25</v>
      </c>
      <c r="F9" s="1">
        <f>IF((0.001*$E$5*(D9*($E$4+$E$6)))&gt;1,1,(0.001*$E$5*(D9*($E$4+$E$6))))</f>
        <v>1</v>
      </c>
      <c r="H9" s="1">
        <v>25</v>
      </c>
      <c r="I9" s="1">
        <v>1</v>
      </c>
      <c r="J9" s="1">
        <f>IF((0.001*J$6*(($I9*$E$4)+$E$6))&gt;1,1,(0.001*J$6*(($I9*$E$4)+$E$6)))</f>
        <v>1</v>
      </c>
      <c r="K9" s="1">
        <f t="shared" ref="K9:L24" si="1">IF((0.001*K$6*(($I9*$E$4)+$E$6))&gt;1,1,(0.001*K$6*(($I9*$E$4)+$E$6)))</f>
        <v>1</v>
      </c>
      <c r="L9" s="1">
        <f t="shared" si="1"/>
        <v>1</v>
      </c>
      <c r="M9" s="1">
        <f>IF(J9&gt;0.68,1.563*J9-0.563,0.5)</f>
        <v>1</v>
      </c>
      <c r="N9" s="1">
        <f t="shared" ref="N9:O24" si="2">IF(K9&gt;0.68,1.563*K9-0.563,0.5)</f>
        <v>1</v>
      </c>
      <c r="O9" s="1">
        <f t="shared" si="2"/>
        <v>1</v>
      </c>
      <c r="P9" s="1">
        <f t="shared" ref="P9:P72" si="3">H9</f>
        <v>25</v>
      </c>
      <c r="Q9" s="1">
        <f>IF(J9&gt;0.5,M9,0)</f>
        <v>1</v>
      </c>
      <c r="R9" s="88">
        <f t="shared" ref="R9:R72" si="4">IF(K9&gt;0.5,N9,0)</f>
        <v>1</v>
      </c>
      <c r="S9" s="88">
        <f t="shared" ref="S9:S72" si="5">IF(L9&gt;0.5,O9,0)</f>
        <v>1</v>
      </c>
      <c r="T9" s="1">
        <f t="shared" ref="T9:T34" si="6">E9</f>
        <v>25</v>
      </c>
      <c r="U9" s="80">
        <f>IF((F9*1.563)-0.563&lt;0.5,0,(F9*1.563)-0.563)</f>
        <v>1</v>
      </c>
    </row>
    <row r="10" spans="1:21" x14ac:dyDescent="0.3">
      <c r="C10" s="1">
        <f t="shared" ref="C10:C34" si="7">+C9+5</f>
        <v>30</v>
      </c>
      <c r="D10" s="1">
        <v>0.82955000000000001</v>
      </c>
      <c r="E10" s="1">
        <f t="shared" si="0"/>
        <v>30</v>
      </c>
      <c r="F10" s="1">
        <f t="shared" ref="F10:F34" si="8">IF((0.001*$E$5*((D10*$E$4)+$E$6))&gt;1,1,(0.001*$E$5*((D10*$E$4)+$E$6)))</f>
        <v>1</v>
      </c>
      <c r="H10" s="1">
        <f>H9+1</f>
        <v>26</v>
      </c>
      <c r="I10" s="1">
        <f>I9+0.2*(I14-I9)</f>
        <v>0.96591000000000005</v>
      </c>
      <c r="J10" s="1">
        <f t="shared" ref="J10:L73" si="9">IF((0.001*J$6*(($I10*$E$4)+$E$6))&gt;1,1,(0.001*J$6*(($I10*$E$4)+$E$6)))</f>
        <v>1</v>
      </c>
      <c r="K10" s="1">
        <f t="shared" si="1"/>
        <v>1</v>
      </c>
      <c r="L10" s="1">
        <f t="shared" si="1"/>
        <v>1</v>
      </c>
      <c r="M10" s="1">
        <f t="shared" ref="M10:M73" si="10">IF(J10&gt;0.68,1.563*J10-0.563,0.5)</f>
        <v>1</v>
      </c>
      <c r="N10" s="1">
        <f t="shared" si="2"/>
        <v>1</v>
      </c>
      <c r="O10" s="1">
        <f t="shared" si="2"/>
        <v>1</v>
      </c>
      <c r="P10" s="1">
        <f t="shared" si="3"/>
        <v>26</v>
      </c>
      <c r="Q10" s="88">
        <f t="shared" ref="Q10:Q73" si="11">IF(J10&gt;0.5,M10,0)</f>
        <v>1</v>
      </c>
      <c r="R10" s="88">
        <f t="shared" si="4"/>
        <v>1</v>
      </c>
      <c r="S10" s="88">
        <f t="shared" si="5"/>
        <v>1</v>
      </c>
      <c r="T10" s="1">
        <f t="shared" si="6"/>
        <v>30</v>
      </c>
      <c r="U10" s="80">
        <f t="shared" ref="U10:U34" si="12">IF((F10*1.563)-0.563&lt;0.5,0,(F10*1.563)-0.563)</f>
        <v>1</v>
      </c>
    </row>
    <row r="11" spans="1:21" x14ac:dyDescent="0.3">
      <c r="C11" s="1">
        <f t="shared" si="7"/>
        <v>35</v>
      </c>
      <c r="D11" s="1">
        <v>0.69177999999999995</v>
      </c>
      <c r="E11" s="1">
        <f t="shared" si="0"/>
        <v>35</v>
      </c>
      <c r="F11" s="1">
        <f t="shared" si="8"/>
        <v>1</v>
      </c>
      <c r="H11" s="1">
        <f t="shared" ref="H11:H74" si="13">H10+1</f>
        <v>27</v>
      </c>
      <c r="I11" s="1">
        <f>I9+0.4*(I14-I9)</f>
        <v>0.93181999999999998</v>
      </c>
      <c r="J11" s="1">
        <f t="shared" si="9"/>
        <v>1</v>
      </c>
      <c r="K11" s="1">
        <f t="shared" si="1"/>
        <v>1</v>
      </c>
      <c r="L11" s="1">
        <f t="shared" si="1"/>
        <v>1</v>
      </c>
      <c r="M11" s="1">
        <f t="shared" si="10"/>
        <v>1</v>
      </c>
      <c r="N11" s="1">
        <f t="shared" si="2"/>
        <v>1</v>
      </c>
      <c r="O11" s="1">
        <f t="shared" si="2"/>
        <v>1</v>
      </c>
      <c r="P11" s="1">
        <f t="shared" si="3"/>
        <v>27</v>
      </c>
      <c r="Q11" s="88">
        <f t="shared" si="11"/>
        <v>1</v>
      </c>
      <c r="R11" s="88">
        <f t="shared" si="4"/>
        <v>1</v>
      </c>
      <c r="S11" s="88">
        <f t="shared" si="5"/>
        <v>1</v>
      </c>
      <c r="T11" s="1">
        <f t="shared" si="6"/>
        <v>35</v>
      </c>
      <c r="U11" s="80">
        <f t="shared" si="12"/>
        <v>1</v>
      </c>
    </row>
    <row r="12" spans="1:21" x14ac:dyDescent="0.3">
      <c r="C12" s="1">
        <f t="shared" si="7"/>
        <v>40</v>
      </c>
      <c r="D12" s="1">
        <v>0.57981000000000005</v>
      </c>
      <c r="E12" s="1">
        <f t="shared" si="0"/>
        <v>40</v>
      </c>
      <c r="F12" s="1">
        <f t="shared" si="8"/>
        <v>1</v>
      </c>
      <c r="H12" s="1">
        <f t="shared" si="13"/>
        <v>28</v>
      </c>
      <c r="I12" s="1">
        <f>I9+0.6*(I14-I9)</f>
        <v>0.89773000000000003</v>
      </c>
      <c r="J12" s="1">
        <f t="shared" si="9"/>
        <v>1</v>
      </c>
      <c r="K12" s="1">
        <f t="shared" si="1"/>
        <v>1</v>
      </c>
      <c r="L12" s="1">
        <f t="shared" si="1"/>
        <v>1</v>
      </c>
      <c r="M12" s="1">
        <f t="shared" si="10"/>
        <v>1</v>
      </c>
      <c r="N12" s="1">
        <f t="shared" si="2"/>
        <v>1</v>
      </c>
      <c r="O12" s="1">
        <f t="shared" si="2"/>
        <v>1</v>
      </c>
      <c r="P12" s="1">
        <f t="shared" si="3"/>
        <v>28</v>
      </c>
      <c r="Q12" s="88">
        <f t="shared" si="11"/>
        <v>1</v>
      </c>
      <c r="R12" s="88">
        <f t="shared" si="4"/>
        <v>1</v>
      </c>
      <c r="S12" s="88">
        <f t="shared" si="5"/>
        <v>1</v>
      </c>
      <c r="T12" s="1">
        <f t="shared" si="6"/>
        <v>40</v>
      </c>
      <c r="U12" s="80">
        <f t="shared" si="12"/>
        <v>1</v>
      </c>
    </row>
    <row r="13" spans="1:21" x14ac:dyDescent="0.3">
      <c r="C13" s="1">
        <f t="shared" si="7"/>
        <v>45</v>
      </c>
      <c r="D13" s="1">
        <v>0.48834</v>
      </c>
      <c r="E13" s="1">
        <f t="shared" si="0"/>
        <v>45</v>
      </c>
      <c r="F13" s="1">
        <f t="shared" si="8"/>
        <v>1</v>
      </c>
      <c r="H13" s="1">
        <f t="shared" si="13"/>
        <v>29</v>
      </c>
      <c r="I13" s="1">
        <f>I9+0.8*(I14-I9)</f>
        <v>0.86363999999999996</v>
      </c>
      <c r="J13" s="1">
        <f t="shared" si="9"/>
        <v>1</v>
      </c>
      <c r="K13" s="1">
        <f t="shared" si="1"/>
        <v>1</v>
      </c>
      <c r="L13" s="1">
        <f t="shared" si="1"/>
        <v>1</v>
      </c>
      <c r="M13" s="1">
        <f t="shared" si="10"/>
        <v>1</v>
      </c>
      <c r="N13" s="1">
        <f t="shared" si="2"/>
        <v>1</v>
      </c>
      <c r="O13" s="1">
        <f t="shared" si="2"/>
        <v>1</v>
      </c>
      <c r="P13" s="1">
        <f t="shared" si="3"/>
        <v>29</v>
      </c>
      <c r="Q13" s="88">
        <f t="shared" si="11"/>
        <v>1</v>
      </c>
      <c r="R13" s="88">
        <f t="shared" si="4"/>
        <v>1</v>
      </c>
      <c r="S13" s="88">
        <f t="shared" si="5"/>
        <v>1</v>
      </c>
      <c r="T13" s="1">
        <f t="shared" si="6"/>
        <v>45</v>
      </c>
      <c r="U13" s="80">
        <f t="shared" si="12"/>
        <v>1</v>
      </c>
    </row>
    <row r="14" spans="1:21" x14ac:dyDescent="0.3">
      <c r="C14" s="1">
        <f t="shared" si="7"/>
        <v>50</v>
      </c>
      <c r="D14" s="1">
        <v>0.41321999999999998</v>
      </c>
      <c r="E14" s="1">
        <f t="shared" si="0"/>
        <v>50</v>
      </c>
      <c r="F14" s="1">
        <f t="shared" si="8"/>
        <v>1</v>
      </c>
      <c r="H14" s="1">
        <f t="shared" si="13"/>
        <v>30</v>
      </c>
      <c r="I14" s="1">
        <v>0.82955000000000001</v>
      </c>
      <c r="J14" s="1">
        <f t="shared" si="9"/>
        <v>1</v>
      </c>
      <c r="K14" s="1">
        <f t="shared" si="1"/>
        <v>1</v>
      </c>
      <c r="L14" s="1">
        <f t="shared" si="1"/>
        <v>1</v>
      </c>
      <c r="M14" s="1">
        <f t="shared" si="10"/>
        <v>1</v>
      </c>
      <c r="N14" s="1">
        <f t="shared" si="2"/>
        <v>1</v>
      </c>
      <c r="O14" s="1">
        <f t="shared" si="2"/>
        <v>1</v>
      </c>
      <c r="P14" s="1">
        <f t="shared" si="3"/>
        <v>30</v>
      </c>
      <c r="Q14" s="88">
        <f t="shared" si="11"/>
        <v>1</v>
      </c>
      <c r="R14" s="88">
        <f t="shared" si="4"/>
        <v>1</v>
      </c>
      <c r="S14" s="88">
        <f t="shared" si="5"/>
        <v>1</v>
      </c>
      <c r="T14" s="1">
        <f t="shared" si="6"/>
        <v>50</v>
      </c>
      <c r="U14" s="80">
        <f t="shared" si="12"/>
        <v>1</v>
      </c>
    </row>
    <row r="15" spans="1:21" x14ac:dyDescent="0.3">
      <c r="C15" s="1">
        <f t="shared" si="7"/>
        <v>55</v>
      </c>
      <c r="D15" s="1">
        <v>0.35124</v>
      </c>
      <c r="E15" s="1">
        <f t="shared" si="0"/>
        <v>55</v>
      </c>
      <c r="F15" s="1">
        <f t="shared" si="8"/>
        <v>1</v>
      </c>
      <c r="H15" s="1">
        <f t="shared" si="13"/>
        <v>31</v>
      </c>
      <c r="I15" s="1">
        <f>I14+0.2*(I19-I14)</f>
        <v>0.80199600000000004</v>
      </c>
      <c r="J15" s="1">
        <f t="shared" si="9"/>
        <v>1</v>
      </c>
      <c r="K15" s="1">
        <f t="shared" si="1"/>
        <v>1</v>
      </c>
      <c r="L15" s="1">
        <f t="shared" si="1"/>
        <v>1</v>
      </c>
      <c r="M15" s="1">
        <f t="shared" si="10"/>
        <v>1</v>
      </c>
      <c r="N15" s="1">
        <f t="shared" si="2"/>
        <v>1</v>
      </c>
      <c r="O15" s="1">
        <f t="shared" si="2"/>
        <v>1</v>
      </c>
      <c r="P15" s="1">
        <f t="shared" si="3"/>
        <v>31</v>
      </c>
      <c r="Q15" s="88">
        <f t="shared" si="11"/>
        <v>1</v>
      </c>
      <c r="R15" s="88">
        <f t="shared" si="4"/>
        <v>1</v>
      </c>
      <c r="S15" s="88">
        <f t="shared" si="5"/>
        <v>1</v>
      </c>
      <c r="T15" s="1">
        <f t="shared" si="6"/>
        <v>55</v>
      </c>
      <c r="U15" s="80">
        <f t="shared" si="12"/>
        <v>1</v>
      </c>
    </row>
    <row r="16" spans="1:21" x14ac:dyDescent="0.3">
      <c r="C16" s="1">
        <f t="shared" si="7"/>
        <v>60</v>
      </c>
      <c r="D16" s="1">
        <v>0.29984</v>
      </c>
      <c r="E16" s="1">
        <f t="shared" si="0"/>
        <v>60</v>
      </c>
      <c r="F16" s="1">
        <f t="shared" si="8"/>
        <v>1</v>
      </c>
      <c r="H16" s="1">
        <f t="shared" si="13"/>
        <v>32</v>
      </c>
      <c r="I16" s="1">
        <f>I14+0.4*(I19-I14)</f>
        <v>0.77444199999999996</v>
      </c>
      <c r="J16" s="1">
        <f t="shared" si="9"/>
        <v>1</v>
      </c>
      <c r="K16" s="1">
        <f t="shared" si="1"/>
        <v>1</v>
      </c>
      <c r="L16" s="1">
        <f t="shared" si="1"/>
        <v>1</v>
      </c>
      <c r="M16" s="1">
        <f t="shared" si="10"/>
        <v>1</v>
      </c>
      <c r="N16" s="1">
        <f t="shared" si="2"/>
        <v>1</v>
      </c>
      <c r="O16" s="1">
        <f t="shared" si="2"/>
        <v>1</v>
      </c>
      <c r="P16" s="1">
        <f t="shared" si="3"/>
        <v>32</v>
      </c>
      <c r="Q16" s="88">
        <f t="shared" si="11"/>
        <v>1</v>
      </c>
      <c r="R16" s="88">
        <f t="shared" si="4"/>
        <v>1</v>
      </c>
      <c r="S16" s="88">
        <f t="shared" si="5"/>
        <v>1</v>
      </c>
      <c r="T16" s="1">
        <f t="shared" si="6"/>
        <v>60</v>
      </c>
      <c r="U16" s="80">
        <f t="shared" si="12"/>
        <v>1</v>
      </c>
    </row>
    <row r="17" spans="3:24" x14ac:dyDescent="0.3">
      <c r="C17" s="1">
        <f t="shared" si="7"/>
        <v>65</v>
      </c>
      <c r="D17" s="1">
        <v>0.25703999999999999</v>
      </c>
      <c r="E17" s="1">
        <f t="shared" si="0"/>
        <v>65</v>
      </c>
      <c r="F17" s="1">
        <f t="shared" si="8"/>
        <v>1</v>
      </c>
      <c r="H17" s="1">
        <f t="shared" si="13"/>
        <v>33</v>
      </c>
      <c r="I17" s="1">
        <f>I14+0.6*(I19-I14)</f>
        <v>0.746888</v>
      </c>
      <c r="J17" s="1">
        <f t="shared" si="9"/>
        <v>1</v>
      </c>
      <c r="K17" s="1">
        <f t="shared" si="1"/>
        <v>1</v>
      </c>
      <c r="L17" s="1">
        <f t="shared" si="1"/>
        <v>1</v>
      </c>
      <c r="M17" s="1">
        <f t="shared" si="10"/>
        <v>1</v>
      </c>
      <c r="N17" s="1">
        <f t="shared" si="2"/>
        <v>1</v>
      </c>
      <c r="O17" s="1">
        <f t="shared" si="2"/>
        <v>1</v>
      </c>
      <c r="P17" s="1">
        <f t="shared" si="3"/>
        <v>33</v>
      </c>
      <c r="Q17" s="88">
        <f t="shared" si="11"/>
        <v>1</v>
      </c>
      <c r="R17" s="88">
        <f t="shared" si="4"/>
        <v>1</v>
      </c>
      <c r="S17" s="88">
        <f t="shared" si="5"/>
        <v>1</v>
      </c>
      <c r="T17" s="1">
        <f t="shared" si="6"/>
        <v>65</v>
      </c>
      <c r="U17" s="80">
        <f t="shared" si="12"/>
        <v>1</v>
      </c>
    </row>
    <row r="18" spans="3:24" x14ac:dyDescent="0.3">
      <c r="C18" s="1">
        <f t="shared" si="7"/>
        <v>70</v>
      </c>
      <c r="D18" s="1">
        <v>0.22123000000000001</v>
      </c>
      <c r="E18" s="1">
        <f t="shared" si="0"/>
        <v>70</v>
      </c>
      <c r="F18" s="1">
        <f t="shared" si="8"/>
        <v>1</v>
      </c>
      <c r="H18" s="1">
        <f t="shared" si="13"/>
        <v>34</v>
      </c>
      <c r="I18" s="1">
        <f>I14+0.8*(I19-I14)</f>
        <v>0.71933399999999992</v>
      </c>
      <c r="J18" s="1">
        <f t="shared" si="9"/>
        <v>1</v>
      </c>
      <c r="K18" s="1">
        <f t="shared" si="1"/>
        <v>1</v>
      </c>
      <c r="L18" s="1">
        <f t="shared" si="1"/>
        <v>1</v>
      </c>
      <c r="M18" s="1">
        <f t="shared" si="10"/>
        <v>1</v>
      </c>
      <c r="N18" s="1">
        <f t="shared" si="2"/>
        <v>1</v>
      </c>
      <c r="O18" s="1">
        <f t="shared" si="2"/>
        <v>1</v>
      </c>
      <c r="P18" s="1">
        <f t="shared" si="3"/>
        <v>34</v>
      </c>
      <c r="Q18" s="88">
        <f t="shared" si="11"/>
        <v>1</v>
      </c>
      <c r="R18" s="88">
        <f t="shared" si="4"/>
        <v>1</v>
      </c>
      <c r="S18" s="88">
        <f t="shared" si="5"/>
        <v>1</v>
      </c>
      <c r="T18" s="1">
        <f t="shared" si="6"/>
        <v>70</v>
      </c>
      <c r="U18" s="80">
        <f t="shared" si="12"/>
        <v>1</v>
      </c>
    </row>
    <row r="19" spans="3:24" x14ac:dyDescent="0.3">
      <c r="C19" s="1">
        <f t="shared" si="7"/>
        <v>75</v>
      </c>
      <c r="D19" s="1">
        <v>0.19114</v>
      </c>
      <c r="E19" s="1">
        <f t="shared" si="0"/>
        <v>75</v>
      </c>
      <c r="F19" s="1">
        <f t="shared" si="8"/>
        <v>1</v>
      </c>
      <c r="H19" s="1">
        <f t="shared" si="13"/>
        <v>35</v>
      </c>
      <c r="I19" s="1">
        <v>0.69177999999999995</v>
      </c>
      <c r="J19" s="1">
        <f t="shared" si="9"/>
        <v>1</v>
      </c>
      <c r="K19" s="1">
        <f t="shared" si="1"/>
        <v>1</v>
      </c>
      <c r="L19" s="1">
        <f t="shared" si="1"/>
        <v>1</v>
      </c>
      <c r="M19" s="1">
        <f t="shared" si="10"/>
        <v>1</v>
      </c>
      <c r="N19" s="1">
        <f t="shared" si="2"/>
        <v>1</v>
      </c>
      <c r="O19" s="1">
        <f t="shared" si="2"/>
        <v>1</v>
      </c>
      <c r="P19" s="1">
        <f t="shared" si="3"/>
        <v>35</v>
      </c>
      <c r="Q19" s="88">
        <f t="shared" si="11"/>
        <v>1</v>
      </c>
      <c r="R19" s="88">
        <f t="shared" si="4"/>
        <v>1</v>
      </c>
      <c r="S19" s="88">
        <f t="shared" si="5"/>
        <v>1</v>
      </c>
      <c r="T19" s="1">
        <f t="shared" si="6"/>
        <v>75</v>
      </c>
      <c r="U19" s="80">
        <f t="shared" si="12"/>
        <v>1</v>
      </c>
    </row>
    <row r="20" spans="3:24" x14ac:dyDescent="0.3">
      <c r="C20" s="1">
        <f t="shared" si="7"/>
        <v>80</v>
      </c>
      <c r="D20" s="1">
        <v>0.16577</v>
      </c>
      <c r="E20" s="1">
        <f t="shared" si="0"/>
        <v>80</v>
      </c>
      <c r="F20" s="1">
        <f t="shared" si="8"/>
        <v>1</v>
      </c>
      <c r="H20" s="1">
        <f t="shared" si="13"/>
        <v>36</v>
      </c>
      <c r="I20" s="1">
        <f>I19+0.2*(I24-I19)</f>
        <v>0.66938599999999993</v>
      </c>
      <c r="J20" s="1">
        <f t="shared" si="9"/>
        <v>1</v>
      </c>
      <c r="K20" s="1">
        <f t="shared" si="1"/>
        <v>1</v>
      </c>
      <c r="L20" s="1">
        <f t="shared" si="1"/>
        <v>1</v>
      </c>
      <c r="M20" s="1">
        <f t="shared" si="10"/>
        <v>1</v>
      </c>
      <c r="N20" s="1">
        <f t="shared" si="2"/>
        <v>1</v>
      </c>
      <c r="O20" s="1">
        <f t="shared" si="2"/>
        <v>1</v>
      </c>
      <c r="P20" s="1">
        <f t="shared" si="3"/>
        <v>36</v>
      </c>
      <c r="Q20" s="88">
        <f t="shared" si="11"/>
        <v>1</v>
      </c>
      <c r="R20" s="88">
        <f t="shared" si="4"/>
        <v>1</v>
      </c>
      <c r="S20" s="88">
        <f t="shared" si="5"/>
        <v>1</v>
      </c>
      <c r="T20" s="1">
        <f t="shared" si="6"/>
        <v>80</v>
      </c>
      <c r="U20" s="80">
        <f t="shared" si="12"/>
        <v>1</v>
      </c>
    </row>
    <row r="21" spans="3:24" x14ac:dyDescent="0.3">
      <c r="C21" s="1">
        <f t="shared" si="7"/>
        <v>85</v>
      </c>
      <c r="D21" s="1">
        <v>0.14427000000000001</v>
      </c>
      <c r="E21" s="1">
        <f t="shared" si="0"/>
        <v>85</v>
      </c>
      <c r="F21" s="1">
        <f t="shared" si="8"/>
        <v>1</v>
      </c>
      <c r="H21" s="1">
        <f t="shared" si="13"/>
        <v>37</v>
      </c>
      <c r="I21" s="1">
        <f>I19+0.4*(I24-I19)</f>
        <v>0.64699200000000001</v>
      </c>
      <c r="J21" s="1">
        <f t="shared" si="9"/>
        <v>1</v>
      </c>
      <c r="K21" s="1">
        <f t="shared" si="1"/>
        <v>1</v>
      </c>
      <c r="L21" s="1">
        <f t="shared" si="1"/>
        <v>1</v>
      </c>
      <c r="M21" s="1">
        <f t="shared" si="10"/>
        <v>1</v>
      </c>
      <c r="N21" s="1">
        <f t="shared" si="2"/>
        <v>1</v>
      </c>
      <c r="O21" s="1">
        <f t="shared" si="2"/>
        <v>1</v>
      </c>
      <c r="P21" s="1">
        <f t="shared" si="3"/>
        <v>37</v>
      </c>
      <c r="Q21" s="88">
        <f t="shared" si="11"/>
        <v>1</v>
      </c>
      <c r="R21" s="88">
        <f t="shared" si="4"/>
        <v>1</v>
      </c>
      <c r="S21" s="88">
        <f t="shared" si="5"/>
        <v>1</v>
      </c>
      <c r="T21" s="1">
        <f t="shared" si="6"/>
        <v>85</v>
      </c>
      <c r="U21" s="80">
        <f t="shared" si="12"/>
        <v>1</v>
      </c>
    </row>
    <row r="22" spans="3:24" x14ac:dyDescent="0.3">
      <c r="C22" s="1">
        <f t="shared" si="7"/>
        <v>90</v>
      </c>
      <c r="D22" s="1">
        <v>0.126</v>
      </c>
      <c r="E22" s="1">
        <f t="shared" si="0"/>
        <v>90</v>
      </c>
      <c r="F22" s="1">
        <f t="shared" si="8"/>
        <v>1</v>
      </c>
      <c r="H22" s="1">
        <f t="shared" si="13"/>
        <v>38</v>
      </c>
      <c r="I22" s="1">
        <f>I19+0.6*(I24-I19)</f>
        <v>0.62459799999999999</v>
      </c>
      <c r="J22" s="1">
        <f t="shared" si="9"/>
        <v>1</v>
      </c>
      <c r="K22" s="1">
        <f t="shared" si="1"/>
        <v>1</v>
      </c>
      <c r="L22" s="1">
        <f t="shared" si="1"/>
        <v>1</v>
      </c>
      <c r="M22" s="1">
        <f t="shared" si="10"/>
        <v>1</v>
      </c>
      <c r="N22" s="1">
        <f t="shared" si="2"/>
        <v>1</v>
      </c>
      <c r="O22" s="1">
        <f t="shared" si="2"/>
        <v>1</v>
      </c>
      <c r="P22" s="1">
        <f t="shared" si="3"/>
        <v>38</v>
      </c>
      <c r="Q22" s="88">
        <f t="shared" si="11"/>
        <v>1</v>
      </c>
      <c r="R22" s="88">
        <f t="shared" si="4"/>
        <v>1</v>
      </c>
      <c r="S22" s="88">
        <f t="shared" si="5"/>
        <v>1</v>
      </c>
      <c r="T22" s="1">
        <f t="shared" si="6"/>
        <v>90</v>
      </c>
      <c r="U22" s="80">
        <f t="shared" si="12"/>
        <v>1</v>
      </c>
    </row>
    <row r="23" spans="3:24" x14ac:dyDescent="0.3">
      <c r="C23" s="1">
        <f t="shared" si="7"/>
        <v>95</v>
      </c>
      <c r="D23" s="1">
        <v>0.11040999999999999</v>
      </c>
      <c r="E23" s="1">
        <f t="shared" si="0"/>
        <v>95</v>
      </c>
      <c r="F23" s="1">
        <f t="shared" si="8"/>
        <v>1</v>
      </c>
      <c r="H23" s="1">
        <f t="shared" si="13"/>
        <v>39</v>
      </c>
      <c r="I23" s="1">
        <f>I19+0.8*(I24-I19)</f>
        <v>0.60220399999999996</v>
      </c>
      <c r="J23" s="1">
        <f t="shared" si="9"/>
        <v>1</v>
      </c>
      <c r="K23" s="1">
        <f t="shared" si="1"/>
        <v>1</v>
      </c>
      <c r="L23" s="1">
        <f t="shared" si="1"/>
        <v>1</v>
      </c>
      <c r="M23" s="1">
        <f t="shared" si="10"/>
        <v>1</v>
      </c>
      <c r="N23" s="1">
        <f t="shared" si="2"/>
        <v>1</v>
      </c>
      <c r="O23" s="1">
        <f t="shared" si="2"/>
        <v>1</v>
      </c>
      <c r="P23" s="1">
        <f t="shared" si="3"/>
        <v>39</v>
      </c>
      <c r="Q23" s="88">
        <f t="shared" si="11"/>
        <v>1</v>
      </c>
      <c r="R23" s="88">
        <f t="shared" si="4"/>
        <v>1</v>
      </c>
      <c r="S23" s="88">
        <f t="shared" si="5"/>
        <v>1</v>
      </c>
      <c r="T23" s="1">
        <f t="shared" si="6"/>
        <v>95</v>
      </c>
      <c r="U23" s="80">
        <f t="shared" si="12"/>
        <v>1</v>
      </c>
    </row>
    <row r="24" spans="3:24" x14ac:dyDescent="0.3">
      <c r="C24" s="1">
        <f t="shared" si="7"/>
        <v>100</v>
      </c>
      <c r="D24" s="1">
        <v>9.7066E-2</v>
      </c>
      <c r="E24" s="1">
        <f t="shared" si="0"/>
        <v>100</v>
      </c>
      <c r="F24" s="1">
        <f t="shared" si="8"/>
        <v>0.91006100000000001</v>
      </c>
      <c r="H24" s="1">
        <f t="shared" si="13"/>
        <v>40</v>
      </c>
      <c r="I24" s="1">
        <v>0.57981000000000005</v>
      </c>
      <c r="J24" s="1">
        <f t="shared" si="9"/>
        <v>1</v>
      </c>
      <c r="K24" s="1">
        <f t="shared" si="1"/>
        <v>1</v>
      </c>
      <c r="L24" s="1">
        <f t="shared" si="1"/>
        <v>1</v>
      </c>
      <c r="M24" s="1">
        <f t="shared" si="10"/>
        <v>1</v>
      </c>
      <c r="N24" s="1">
        <f t="shared" si="2"/>
        <v>1</v>
      </c>
      <c r="O24" s="1">
        <f t="shared" si="2"/>
        <v>1</v>
      </c>
      <c r="P24" s="1">
        <f t="shared" si="3"/>
        <v>40</v>
      </c>
      <c r="Q24" s="88">
        <f t="shared" si="11"/>
        <v>1</v>
      </c>
      <c r="R24" s="88">
        <f t="shared" si="4"/>
        <v>1</v>
      </c>
      <c r="S24" s="88">
        <f t="shared" si="5"/>
        <v>1</v>
      </c>
      <c r="T24" s="1">
        <f t="shared" si="6"/>
        <v>100</v>
      </c>
      <c r="U24" s="80">
        <f t="shared" si="12"/>
        <v>0.85942534300000006</v>
      </c>
    </row>
    <row r="25" spans="3:24" x14ac:dyDescent="0.3">
      <c r="C25" s="1">
        <f t="shared" si="7"/>
        <v>105</v>
      </c>
      <c r="D25" s="1">
        <v>8.5597000000000006E-2</v>
      </c>
      <c r="E25" s="1">
        <f t="shared" si="0"/>
        <v>105</v>
      </c>
      <c r="F25" s="1">
        <f t="shared" si="8"/>
        <v>0.8125745000000002</v>
      </c>
      <c r="H25" s="1">
        <f t="shared" si="13"/>
        <v>41</v>
      </c>
      <c r="I25" s="1">
        <f>I24+0.2*(I29-I24)</f>
        <v>0.56151600000000002</v>
      </c>
      <c r="J25" s="1">
        <f t="shared" si="9"/>
        <v>1</v>
      </c>
      <c r="K25" s="1">
        <f t="shared" si="9"/>
        <v>1</v>
      </c>
      <c r="L25" s="1">
        <f t="shared" si="9"/>
        <v>1</v>
      </c>
      <c r="M25" s="1">
        <f t="shared" si="10"/>
        <v>1</v>
      </c>
      <c r="N25" s="1">
        <f t="shared" ref="N25:N88" si="14">IF(K25&gt;0.68,1.563*K25-0.563,0.5)</f>
        <v>1</v>
      </c>
      <c r="O25" s="1">
        <f t="shared" ref="O25:O88" si="15">IF(L25&gt;0.68,1.563*L25-0.563,0.5)</f>
        <v>1</v>
      </c>
      <c r="P25" s="1">
        <f t="shared" si="3"/>
        <v>41</v>
      </c>
      <c r="Q25" s="88">
        <f t="shared" si="11"/>
        <v>1</v>
      </c>
      <c r="R25" s="88">
        <f t="shared" si="4"/>
        <v>1</v>
      </c>
      <c r="S25" s="88">
        <f t="shared" si="5"/>
        <v>1</v>
      </c>
      <c r="T25" s="1">
        <f t="shared" si="6"/>
        <v>105</v>
      </c>
      <c r="U25" s="80">
        <f t="shared" si="12"/>
        <v>0.70705394350000028</v>
      </c>
    </row>
    <row r="26" spans="3:24" x14ac:dyDescent="0.3">
      <c r="C26" s="1">
        <f t="shared" si="7"/>
        <v>110</v>
      </c>
      <c r="D26" s="1">
        <v>7.5770900000000002E-2</v>
      </c>
      <c r="E26" s="1">
        <f t="shared" si="0"/>
        <v>110</v>
      </c>
      <c r="F26" s="1">
        <f t="shared" si="8"/>
        <v>0.72905265000000008</v>
      </c>
      <c r="H26" s="1">
        <f t="shared" si="13"/>
        <v>42</v>
      </c>
      <c r="I26" s="1">
        <f>I24+0.4*(I29-I24)</f>
        <v>0.54322199999999998</v>
      </c>
      <c r="J26" s="1">
        <f t="shared" si="9"/>
        <v>1</v>
      </c>
      <c r="K26" s="1">
        <f t="shared" si="9"/>
        <v>1</v>
      </c>
      <c r="L26" s="1">
        <f t="shared" si="9"/>
        <v>1</v>
      </c>
      <c r="M26" s="1">
        <f t="shared" si="10"/>
        <v>1</v>
      </c>
      <c r="N26" s="1">
        <f t="shared" si="14"/>
        <v>1</v>
      </c>
      <c r="O26" s="1">
        <f t="shared" si="15"/>
        <v>1</v>
      </c>
      <c r="P26" s="1">
        <f t="shared" si="3"/>
        <v>42</v>
      </c>
      <c r="Q26" s="88">
        <f t="shared" si="11"/>
        <v>1</v>
      </c>
      <c r="R26" s="88">
        <f t="shared" si="4"/>
        <v>1</v>
      </c>
      <c r="S26" s="88">
        <f t="shared" si="5"/>
        <v>1</v>
      </c>
      <c r="T26" s="1">
        <f t="shared" si="6"/>
        <v>110</v>
      </c>
      <c r="U26" s="80">
        <f t="shared" si="12"/>
        <v>0.57650929195000011</v>
      </c>
    </row>
    <row r="27" spans="3:24" x14ac:dyDescent="0.3">
      <c r="C27" s="1">
        <f t="shared" si="7"/>
        <v>115</v>
      </c>
      <c r="D27" s="1">
        <v>6.7157999999999995E-2</v>
      </c>
      <c r="E27" s="1">
        <f t="shared" si="0"/>
        <v>115</v>
      </c>
      <c r="F27" s="1">
        <f t="shared" si="8"/>
        <v>0.65584300000000006</v>
      </c>
      <c r="H27" s="1">
        <f t="shared" si="13"/>
        <v>43</v>
      </c>
      <c r="I27" s="1">
        <f>I24+0.6*(I29-I24)</f>
        <v>0.52492800000000006</v>
      </c>
      <c r="J27" s="1">
        <f t="shared" si="9"/>
        <v>1</v>
      </c>
      <c r="K27" s="1">
        <f t="shared" si="9"/>
        <v>1</v>
      </c>
      <c r="L27" s="1">
        <f t="shared" si="9"/>
        <v>1</v>
      </c>
      <c r="M27" s="1">
        <f t="shared" si="10"/>
        <v>1</v>
      </c>
      <c r="N27" s="1">
        <f t="shared" si="14"/>
        <v>1</v>
      </c>
      <c r="O27" s="1">
        <f t="shared" si="15"/>
        <v>1</v>
      </c>
      <c r="P27" s="1">
        <f t="shared" si="3"/>
        <v>43</v>
      </c>
      <c r="Q27" s="88">
        <f t="shared" si="11"/>
        <v>1</v>
      </c>
      <c r="R27" s="88">
        <f t="shared" si="4"/>
        <v>1</v>
      </c>
      <c r="S27" s="88">
        <f t="shared" si="5"/>
        <v>1</v>
      </c>
      <c r="T27" s="1">
        <f t="shared" si="6"/>
        <v>115</v>
      </c>
      <c r="U27" s="80">
        <f t="shared" si="12"/>
        <v>0</v>
      </c>
    </row>
    <row r="28" spans="3:24" x14ac:dyDescent="0.3">
      <c r="C28" s="1">
        <f t="shared" si="7"/>
        <v>120</v>
      </c>
      <c r="D28" s="1">
        <v>5.9740000000000001E-2</v>
      </c>
      <c r="E28" s="1">
        <f t="shared" si="0"/>
        <v>120</v>
      </c>
      <c r="F28" s="1">
        <f t="shared" si="8"/>
        <v>0.59279000000000004</v>
      </c>
      <c r="H28" s="1">
        <f t="shared" si="13"/>
        <v>44</v>
      </c>
      <c r="I28" s="1">
        <f>I24+0.8*(I29-I24)</f>
        <v>0.50663400000000003</v>
      </c>
      <c r="J28" s="1">
        <f t="shared" si="9"/>
        <v>1</v>
      </c>
      <c r="K28" s="1">
        <f t="shared" si="9"/>
        <v>1</v>
      </c>
      <c r="L28" s="1">
        <f t="shared" si="9"/>
        <v>1</v>
      </c>
      <c r="M28" s="1">
        <f t="shared" si="10"/>
        <v>1</v>
      </c>
      <c r="N28" s="1">
        <f t="shared" si="14"/>
        <v>1</v>
      </c>
      <c r="O28" s="1">
        <f t="shared" si="15"/>
        <v>1</v>
      </c>
      <c r="P28" s="1">
        <f t="shared" si="3"/>
        <v>44</v>
      </c>
      <c r="Q28" s="88">
        <f t="shared" si="11"/>
        <v>1</v>
      </c>
      <c r="R28" s="88">
        <f t="shared" si="4"/>
        <v>1</v>
      </c>
      <c r="S28" s="88">
        <f t="shared" si="5"/>
        <v>1</v>
      </c>
      <c r="T28" s="1">
        <f t="shared" si="6"/>
        <v>120</v>
      </c>
      <c r="U28" s="80">
        <f t="shared" si="12"/>
        <v>0</v>
      </c>
      <c r="W28" s="1" t="s">
        <v>150</v>
      </c>
      <c r="X28" s="1" t="s">
        <v>143</v>
      </c>
    </row>
    <row r="29" spans="3:24" x14ac:dyDescent="0.3">
      <c r="C29" s="1">
        <f t="shared" si="7"/>
        <v>125</v>
      </c>
      <c r="D29" s="1">
        <v>5.3284999999999999E-2</v>
      </c>
      <c r="E29" s="1">
        <f t="shared" si="0"/>
        <v>125</v>
      </c>
      <c r="F29" s="1">
        <f t="shared" si="8"/>
        <v>0.53792250000000008</v>
      </c>
      <c r="H29" s="1">
        <f t="shared" si="13"/>
        <v>45</v>
      </c>
      <c r="I29" s="1">
        <v>0.48834</v>
      </c>
      <c r="J29" s="1">
        <f t="shared" si="9"/>
        <v>1</v>
      </c>
      <c r="K29" s="1">
        <f t="shared" si="9"/>
        <v>1</v>
      </c>
      <c r="L29" s="1">
        <f t="shared" si="9"/>
        <v>1</v>
      </c>
      <c r="M29" s="1">
        <f t="shared" si="10"/>
        <v>1</v>
      </c>
      <c r="N29" s="1">
        <f t="shared" si="14"/>
        <v>1</v>
      </c>
      <c r="O29" s="1">
        <f t="shared" si="15"/>
        <v>1</v>
      </c>
      <c r="P29" s="1">
        <f t="shared" si="3"/>
        <v>45</v>
      </c>
      <c r="Q29" s="88">
        <f t="shared" si="11"/>
        <v>1</v>
      </c>
      <c r="R29" s="88">
        <f t="shared" si="4"/>
        <v>1</v>
      </c>
      <c r="S29" s="88">
        <f t="shared" si="5"/>
        <v>1</v>
      </c>
      <c r="T29" s="1">
        <f t="shared" si="6"/>
        <v>125</v>
      </c>
      <c r="U29" s="80">
        <f t="shared" si="12"/>
        <v>0</v>
      </c>
      <c r="W29" s="1">
        <v>100</v>
      </c>
      <c r="X29" s="1">
        <v>80</v>
      </c>
    </row>
    <row r="30" spans="3:24" x14ac:dyDescent="0.3">
      <c r="C30" s="1">
        <f t="shared" si="7"/>
        <v>130</v>
      </c>
      <c r="D30" s="1">
        <v>4.7699999999999999E-2</v>
      </c>
      <c r="E30" s="1">
        <f t="shared" si="0"/>
        <v>130</v>
      </c>
      <c r="F30" s="1">
        <f t="shared" si="8"/>
        <v>0.49045</v>
      </c>
      <c r="H30" s="1">
        <f t="shared" si="13"/>
        <v>46</v>
      </c>
      <c r="I30" s="1">
        <f>I29+0.2*(I34-I29)</f>
        <v>0.47331600000000001</v>
      </c>
      <c r="J30" s="1">
        <f t="shared" si="9"/>
        <v>1</v>
      </c>
      <c r="K30" s="1">
        <f t="shared" si="9"/>
        <v>1</v>
      </c>
      <c r="L30" s="1">
        <f t="shared" si="9"/>
        <v>1</v>
      </c>
      <c r="M30" s="1">
        <f t="shared" si="10"/>
        <v>1</v>
      </c>
      <c r="N30" s="1">
        <f t="shared" si="14"/>
        <v>1</v>
      </c>
      <c r="O30" s="1">
        <f t="shared" si="15"/>
        <v>1</v>
      </c>
      <c r="P30" s="1">
        <f t="shared" si="3"/>
        <v>46</v>
      </c>
      <c r="Q30" s="88">
        <f t="shared" si="11"/>
        <v>1</v>
      </c>
      <c r="R30" s="88">
        <f t="shared" si="4"/>
        <v>1</v>
      </c>
      <c r="S30" s="88">
        <f t="shared" si="5"/>
        <v>1</v>
      </c>
      <c r="T30" s="1">
        <f t="shared" si="6"/>
        <v>130</v>
      </c>
      <c r="U30" s="80">
        <f t="shared" si="12"/>
        <v>0</v>
      </c>
      <c r="W30" s="1">
        <v>68</v>
      </c>
      <c r="X30" s="1">
        <v>85</v>
      </c>
    </row>
    <row r="31" spans="3:24" x14ac:dyDescent="0.3">
      <c r="C31" s="1">
        <f t="shared" si="7"/>
        <v>135</v>
      </c>
      <c r="D31" s="1">
        <v>4.2700000000000002E-2</v>
      </c>
      <c r="E31" s="1">
        <f t="shared" si="0"/>
        <v>135</v>
      </c>
      <c r="F31" s="1">
        <f t="shared" si="8"/>
        <v>0.44795000000000007</v>
      </c>
      <c r="H31" s="1">
        <f t="shared" si="13"/>
        <v>47</v>
      </c>
      <c r="I31" s="1">
        <f>I29+0.4*(I34-I29)</f>
        <v>0.45829199999999998</v>
      </c>
      <c r="J31" s="1">
        <f t="shared" si="9"/>
        <v>1</v>
      </c>
      <c r="K31" s="1">
        <f t="shared" si="9"/>
        <v>1</v>
      </c>
      <c r="L31" s="1">
        <f t="shared" si="9"/>
        <v>1</v>
      </c>
      <c r="M31" s="1">
        <f t="shared" si="10"/>
        <v>1</v>
      </c>
      <c r="N31" s="1">
        <f t="shared" si="14"/>
        <v>1</v>
      </c>
      <c r="O31" s="1">
        <f t="shared" si="15"/>
        <v>1</v>
      </c>
      <c r="P31" s="1">
        <f t="shared" si="3"/>
        <v>47</v>
      </c>
      <c r="Q31" s="88">
        <f t="shared" si="11"/>
        <v>1</v>
      </c>
      <c r="R31" s="88">
        <f t="shared" si="4"/>
        <v>1</v>
      </c>
      <c r="S31" s="88">
        <f t="shared" si="5"/>
        <v>1</v>
      </c>
      <c r="T31" s="1">
        <f t="shared" si="6"/>
        <v>135</v>
      </c>
      <c r="U31" s="80">
        <f t="shared" si="12"/>
        <v>0</v>
      </c>
      <c r="W31" s="1">
        <v>47</v>
      </c>
      <c r="X31" s="1">
        <v>90</v>
      </c>
    </row>
    <row r="32" spans="3:24" x14ac:dyDescent="0.3">
      <c r="C32" s="1">
        <f t="shared" si="7"/>
        <v>140</v>
      </c>
      <c r="D32" s="1">
        <v>3.8399999999999997E-2</v>
      </c>
      <c r="E32" s="1">
        <f t="shared" si="0"/>
        <v>140</v>
      </c>
      <c r="F32" s="1">
        <f t="shared" si="8"/>
        <v>0.41140000000000004</v>
      </c>
      <c r="H32" s="1">
        <f t="shared" si="13"/>
        <v>48</v>
      </c>
      <c r="I32" s="1">
        <f>I29+0.6*(I34-I29)</f>
        <v>0.443268</v>
      </c>
      <c r="J32" s="1">
        <f t="shared" si="9"/>
        <v>1</v>
      </c>
      <c r="K32" s="1">
        <f t="shared" si="9"/>
        <v>1</v>
      </c>
      <c r="L32" s="1">
        <f t="shared" si="9"/>
        <v>1</v>
      </c>
      <c r="M32" s="1">
        <f t="shared" si="10"/>
        <v>1</v>
      </c>
      <c r="N32" s="1">
        <f t="shared" si="14"/>
        <v>1</v>
      </c>
      <c r="O32" s="1">
        <f t="shared" si="15"/>
        <v>1</v>
      </c>
      <c r="P32" s="1">
        <f t="shared" si="3"/>
        <v>48</v>
      </c>
      <c r="Q32" s="88">
        <f t="shared" si="11"/>
        <v>1</v>
      </c>
      <c r="R32" s="88">
        <f t="shared" si="4"/>
        <v>1</v>
      </c>
      <c r="S32" s="88">
        <f t="shared" si="5"/>
        <v>1</v>
      </c>
      <c r="T32" s="1">
        <f t="shared" si="6"/>
        <v>140</v>
      </c>
      <c r="U32" s="80">
        <f t="shared" si="12"/>
        <v>0</v>
      </c>
      <c r="W32" s="1">
        <v>33</v>
      </c>
    </row>
    <row r="33" spans="3:23" x14ac:dyDescent="0.3">
      <c r="C33" s="1">
        <f t="shared" si="7"/>
        <v>145</v>
      </c>
      <c r="D33" s="1">
        <v>3.4599999999999999E-2</v>
      </c>
      <c r="E33" s="1">
        <f t="shared" si="0"/>
        <v>145</v>
      </c>
      <c r="F33" s="1">
        <f t="shared" si="8"/>
        <v>0.37910000000000005</v>
      </c>
      <c r="H33" s="1">
        <f t="shared" si="13"/>
        <v>49</v>
      </c>
      <c r="I33" s="1">
        <f>I29+0.8*(I34-I29)</f>
        <v>0.42824399999999996</v>
      </c>
      <c r="J33" s="1">
        <f t="shared" si="9"/>
        <v>1</v>
      </c>
      <c r="K33" s="1">
        <f t="shared" si="9"/>
        <v>1</v>
      </c>
      <c r="L33" s="1">
        <f t="shared" si="9"/>
        <v>1</v>
      </c>
      <c r="M33" s="1">
        <f t="shared" si="10"/>
        <v>1</v>
      </c>
      <c r="N33" s="1">
        <f t="shared" si="14"/>
        <v>1</v>
      </c>
      <c r="O33" s="1">
        <f t="shared" si="15"/>
        <v>1</v>
      </c>
      <c r="P33" s="1">
        <f t="shared" si="3"/>
        <v>49</v>
      </c>
      <c r="Q33" s="88">
        <f t="shared" si="11"/>
        <v>1</v>
      </c>
      <c r="R33" s="88">
        <f t="shared" si="4"/>
        <v>1</v>
      </c>
      <c r="S33" s="88">
        <f t="shared" si="5"/>
        <v>1</v>
      </c>
      <c r="T33" s="1">
        <f t="shared" si="6"/>
        <v>145</v>
      </c>
      <c r="U33" s="80">
        <f t="shared" si="12"/>
        <v>0</v>
      </c>
      <c r="W33" s="1">
        <v>22</v>
      </c>
    </row>
    <row r="34" spans="3:23" x14ac:dyDescent="0.3">
      <c r="C34" s="1">
        <f t="shared" si="7"/>
        <v>150</v>
      </c>
      <c r="D34" s="1">
        <v>3.1199999999999999E-2</v>
      </c>
      <c r="E34" s="1">
        <f t="shared" si="0"/>
        <v>150</v>
      </c>
      <c r="F34" s="1">
        <f t="shared" si="8"/>
        <v>0.35019999999999996</v>
      </c>
      <c r="H34" s="1">
        <f t="shared" si="13"/>
        <v>50</v>
      </c>
      <c r="I34" s="1">
        <v>0.41321999999999998</v>
      </c>
      <c r="J34" s="1">
        <f t="shared" si="9"/>
        <v>1</v>
      </c>
      <c r="K34" s="1">
        <f t="shared" si="9"/>
        <v>1</v>
      </c>
      <c r="L34" s="1">
        <f t="shared" si="9"/>
        <v>1</v>
      </c>
      <c r="M34" s="1">
        <f t="shared" si="10"/>
        <v>1</v>
      </c>
      <c r="N34" s="1">
        <f t="shared" si="14"/>
        <v>1</v>
      </c>
      <c r="O34" s="1">
        <f t="shared" si="15"/>
        <v>1</v>
      </c>
      <c r="P34" s="1">
        <f t="shared" si="3"/>
        <v>50</v>
      </c>
      <c r="Q34" s="88">
        <f t="shared" si="11"/>
        <v>1</v>
      </c>
      <c r="R34" s="88">
        <f t="shared" si="4"/>
        <v>1</v>
      </c>
      <c r="S34" s="88">
        <f t="shared" si="5"/>
        <v>1</v>
      </c>
      <c r="T34" s="1">
        <f t="shared" si="6"/>
        <v>150</v>
      </c>
      <c r="U34" s="80">
        <f t="shared" si="12"/>
        <v>0</v>
      </c>
      <c r="W34" s="1">
        <v>10</v>
      </c>
    </row>
    <row r="35" spans="3:23" x14ac:dyDescent="0.3">
      <c r="H35" s="1">
        <f t="shared" si="13"/>
        <v>51</v>
      </c>
      <c r="I35" s="1">
        <f>I34+0.2*(I39-I34)</f>
        <v>0.40082399999999996</v>
      </c>
      <c r="J35" s="1">
        <f t="shared" si="9"/>
        <v>1</v>
      </c>
      <c r="K35" s="1">
        <f t="shared" si="9"/>
        <v>1</v>
      </c>
      <c r="L35" s="1">
        <f t="shared" si="9"/>
        <v>1</v>
      </c>
      <c r="M35" s="1">
        <f t="shared" si="10"/>
        <v>1</v>
      </c>
      <c r="N35" s="1">
        <f t="shared" si="14"/>
        <v>1</v>
      </c>
      <c r="O35" s="1">
        <f t="shared" si="15"/>
        <v>1</v>
      </c>
      <c r="P35" s="1">
        <f t="shared" si="3"/>
        <v>51</v>
      </c>
      <c r="Q35" s="88">
        <f t="shared" si="11"/>
        <v>1</v>
      </c>
      <c r="R35" s="88">
        <f t="shared" si="4"/>
        <v>1</v>
      </c>
      <c r="S35" s="88">
        <f t="shared" si="5"/>
        <v>1</v>
      </c>
      <c r="W35" s="1">
        <v>4.7</v>
      </c>
    </row>
    <row r="36" spans="3:23" x14ac:dyDescent="0.3">
      <c r="H36" s="1">
        <f t="shared" si="13"/>
        <v>52</v>
      </c>
      <c r="I36" s="1">
        <f>I34+0.4*(I39-I34)</f>
        <v>0.388428</v>
      </c>
      <c r="J36" s="1">
        <f t="shared" si="9"/>
        <v>1</v>
      </c>
      <c r="K36" s="1">
        <f t="shared" si="9"/>
        <v>1</v>
      </c>
      <c r="L36" s="1">
        <f t="shared" si="9"/>
        <v>1</v>
      </c>
      <c r="M36" s="1">
        <f t="shared" si="10"/>
        <v>1</v>
      </c>
      <c r="N36" s="1">
        <f t="shared" si="14"/>
        <v>1</v>
      </c>
      <c r="O36" s="1">
        <f t="shared" si="15"/>
        <v>1</v>
      </c>
      <c r="P36" s="1">
        <f t="shared" si="3"/>
        <v>52</v>
      </c>
      <c r="Q36" s="88">
        <f t="shared" si="11"/>
        <v>1</v>
      </c>
      <c r="R36" s="88">
        <f t="shared" si="4"/>
        <v>1</v>
      </c>
      <c r="S36" s="88">
        <f t="shared" si="5"/>
        <v>1</v>
      </c>
    </row>
    <row r="37" spans="3:23" x14ac:dyDescent="0.3">
      <c r="H37" s="1">
        <f t="shared" si="13"/>
        <v>53</v>
      </c>
      <c r="I37" s="1">
        <f>I34+0.6*(I39-I34)</f>
        <v>0.37603199999999998</v>
      </c>
      <c r="J37" s="1">
        <f t="shared" si="9"/>
        <v>1</v>
      </c>
      <c r="K37" s="1">
        <f t="shared" si="9"/>
        <v>1</v>
      </c>
      <c r="L37" s="1">
        <f t="shared" si="9"/>
        <v>1</v>
      </c>
      <c r="M37" s="1">
        <f t="shared" si="10"/>
        <v>1</v>
      </c>
      <c r="N37" s="1">
        <f t="shared" si="14"/>
        <v>1</v>
      </c>
      <c r="O37" s="1">
        <f t="shared" si="15"/>
        <v>1</v>
      </c>
      <c r="P37" s="1">
        <f t="shared" si="3"/>
        <v>53</v>
      </c>
      <c r="Q37" s="88">
        <f t="shared" si="11"/>
        <v>1</v>
      </c>
      <c r="R37" s="88">
        <f t="shared" si="4"/>
        <v>1</v>
      </c>
      <c r="S37" s="88">
        <f t="shared" si="5"/>
        <v>1</v>
      </c>
    </row>
    <row r="38" spans="3:23" x14ac:dyDescent="0.3">
      <c r="H38" s="1">
        <f t="shared" si="13"/>
        <v>54</v>
      </c>
      <c r="I38" s="1">
        <f>I34+0.8*(I39-I34)</f>
        <v>0.36363599999999996</v>
      </c>
      <c r="J38" s="1">
        <f t="shared" si="9"/>
        <v>1</v>
      </c>
      <c r="K38" s="1">
        <f t="shared" si="9"/>
        <v>1</v>
      </c>
      <c r="L38" s="1">
        <f t="shared" si="9"/>
        <v>1</v>
      </c>
      <c r="M38" s="1">
        <f t="shared" si="10"/>
        <v>1</v>
      </c>
      <c r="N38" s="1">
        <f t="shared" si="14"/>
        <v>1</v>
      </c>
      <c r="O38" s="1">
        <f t="shared" si="15"/>
        <v>1</v>
      </c>
      <c r="P38" s="1">
        <f t="shared" si="3"/>
        <v>54</v>
      </c>
      <c r="Q38" s="88">
        <f t="shared" si="11"/>
        <v>1</v>
      </c>
      <c r="R38" s="88">
        <f t="shared" si="4"/>
        <v>1</v>
      </c>
      <c r="S38" s="88">
        <f t="shared" si="5"/>
        <v>1</v>
      </c>
    </row>
    <row r="39" spans="3:23" x14ac:dyDescent="0.3">
      <c r="H39" s="1">
        <f t="shared" si="13"/>
        <v>55</v>
      </c>
      <c r="I39" s="1">
        <v>0.35124</v>
      </c>
      <c r="J39" s="1">
        <f t="shared" si="9"/>
        <v>1</v>
      </c>
      <c r="K39" s="1">
        <f t="shared" si="9"/>
        <v>1</v>
      </c>
      <c r="L39" s="1">
        <f t="shared" si="9"/>
        <v>1</v>
      </c>
      <c r="M39" s="1">
        <f t="shared" si="10"/>
        <v>1</v>
      </c>
      <c r="N39" s="1">
        <f t="shared" si="14"/>
        <v>1</v>
      </c>
      <c r="O39" s="1">
        <f t="shared" si="15"/>
        <v>1</v>
      </c>
      <c r="P39" s="1">
        <f t="shared" si="3"/>
        <v>55</v>
      </c>
      <c r="Q39" s="88">
        <f t="shared" si="11"/>
        <v>1</v>
      </c>
      <c r="R39" s="88">
        <f t="shared" si="4"/>
        <v>1</v>
      </c>
      <c r="S39" s="88">
        <f t="shared" si="5"/>
        <v>1</v>
      </c>
    </row>
    <row r="40" spans="3:23" x14ac:dyDescent="0.3">
      <c r="H40" s="1">
        <f t="shared" si="13"/>
        <v>56</v>
      </c>
      <c r="I40" s="1">
        <f>I39+0.2*(I44-I39)</f>
        <v>0.34095999999999999</v>
      </c>
      <c r="J40" s="1">
        <f t="shared" si="9"/>
        <v>1</v>
      </c>
      <c r="K40" s="1">
        <f t="shared" si="9"/>
        <v>1</v>
      </c>
      <c r="L40" s="1">
        <f t="shared" si="9"/>
        <v>1</v>
      </c>
      <c r="M40" s="1">
        <f t="shared" si="10"/>
        <v>1</v>
      </c>
      <c r="N40" s="1">
        <f t="shared" si="14"/>
        <v>1</v>
      </c>
      <c r="O40" s="1">
        <f t="shared" si="15"/>
        <v>1</v>
      </c>
      <c r="P40" s="1">
        <f t="shared" si="3"/>
        <v>56</v>
      </c>
      <c r="Q40" s="88">
        <f t="shared" si="11"/>
        <v>1</v>
      </c>
      <c r="R40" s="88">
        <f t="shared" si="4"/>
        <v>1</v>
      </c>
      <c r="S40" s="88">
        <f t="shared" si="5"/>
        <v>1</v>
      </c>
    </row>
    <row r="41" spans="3:23" x14ac:dyDescent="0.3">
      <c r="H41" s="1">
        <f t="shared" si="13"/>
        <v>57</v>
      </c>
      <c r="I41" s="1">
        <f>I39+0.4*(I44-I39)</f>
        <v>0.33067999999999997</v>
      </c>
      <c r="J41" s="1">
        <f t="shared" si="9"/>
        <v>1</v>
      </c>
      <c r="K41" s="1">
        <f t="shared" si="9"/>
        <v>1</v>
      </c>
      <c r="L41" s="1">
        <f t="shared" si="9"/>
        <v>1</v>
      </c>
      <c r="M41" s="1">
        <f t="shared" si="10"/>
        <v>1</v>
      </c>
      <c r="N41" s="1">
        <f t="shared" si="14"/>
        <v>1</v>
      </c>
      <c r="O41" s="1">
        <f t="shared" si="15"/>
        <v>1</v>
      </c>
      <c r="P41" s="1">
        <f t="shared" si="3"/>
        <v>57</v>
      </c>
      <c r="Q41" s="88">
        <f t="shared" si="11"/>
        <v>1</v>
      </c>
      <c r="R41" s="88">
        <f t="shared" si="4"/>
        <v>1</v>
      </c>
      <c r="S41" s="88">
        <f t="shared" si="5"/>
        <v>1</v>
      </c>
    </row>
    <row r="42" spans="3:23" x14ac:dyDescent="0.3">
      <c r="H42" s="1">
        <f t="shared" si="13"/>
        <v>58</v>
      </c>
      <c r="I42" s="1">
        <f>I39+0.6*(I44-I39)</f>
        <v>0.32040000000000002</v>
      </c>
      <c r="J42" s="1">
        <f t="shared" si="9"/>
        <v>1</v>
      </c>
      <c r="K42" s="1">
        <f t="shared" si="9"/>
        <v>1</v>
      </c>
      <c r="L42" s="1">
        <f t="shared" si="9"/>
        <v>1</v>
      </c>
      <c r="M42" s="1">
        <f t="shared" si="10"/>
        <v>1</v>
      </c>
      <c r="N42" s="1">
        <f t="shared" si="14"/>
        <v>1</v>
      </c>
      <c r="O42" s="1">
        <f t="shared" si="15"/>
        <v>1</v>
      </c>
      <c r="P42" s="1">
        <f t="shared" si="3"/>
        <v>58</v>
      </c>
      <c r="Q42" s="88">
        <f t="shared" si="11"/>
        <v>1</v>
      </c>
      <c r="R42" s="88">
        <f t="shared" si="4"/>
        <v>1</v>
      </c>
      <c r="S42" s="88">
        <f t="shared" si="5"/>
        <v>1</v>
      </c>
    </row>
    <row r="43" spans="3:23" x14ac:dyDescent="0.3">
      <c r="H43" s="1">
        <f t="shared" si="13"/>
        <v>59</v>
      </c>
      <c r="I43" s="1">
        <f>I39+0.8*(I44-I39)</f>
        <v>0.31012000000000001</v>
      </c>
      <c r="J43" s="1">
        <f t="shared" si="9"/>
        <v>1</v>
      </c>
      <c r="K43" s="1">
        <f t="shared" si="9"/>
        <v>1</v>
      </c>
      <c r="L43" s="1">
        <f t="shared" si="9"/>
        <v>1</v>
      </c>
      <c r="M43" s="1">
        <f t="shared" si="10"/>
        <v>1</v>
      </c>
      <c r="N43" s="1">
        <f t="shared" si="14"/>
        <v>1</v>
      </c>
      <c r="O43" s="1">
        <f t="shared" si="15"/>
        <v>1</v>
      </c>
      <c r="P43" s="1">
        <f t="shared" si="3"/>
        <v>59</v>
      </c>
      <c r="Q43" s="88">
        <f t="shared" si="11"/>
        <v>1</v>
      </c>
      <c r="R43" s="88">
        <f t="shared" si="4"/>
        <v>1</v>
      </c>
      <c r="S43" s="88">
        <f t="shared" si="5"/>
        <v>1</v>
      </c>
    </row>
    <row r="44" spans="3:23" x14ac:dyDescent="0.3">
      <c r="H44" s="1">
        <f t="shared" si="13"/>
        <v>60</v>
      </c>
      <c r="I44" s="1">
        <v>0.29984</v>
      </c>
      <c r="J44" s="1">
        <f t="shared" si="9"/>
        <v>1</v>
      </c>
      <c r="K44" s="1">
        <f t="shared" si="9"/>
        <v>1</v>
      </c>
      <c r="L44" s="1">
        <f t="shared" si="9"/>
        <v>1</v>
      </c>
      <c r="M44" s="1">
        <f t="shared" si="10"/>
        <v>1</v>
      </c>
      <c r="N44" s="1">
        <f t="shared" si="14"/>
        <v>1</v>
      </c>
      <c r="O44" s="1">
        <f t="shared" si="15"/>
        <v>1</v>
      </c>
      <c r="P44" s="1">
        <f t="shared" si="3"/>
        <v>60</v>
      </c>
      <c r="Q44" s="88">
        <f t="shared" si="11"/>
        <v>1</v>
      </c>
      <c r="R44" s="88">
        <f t="shared" si="4"/>
        <v>1</v>
      </c>
      <c r="S44" s="88">
        <f t="shared" si="5"/>
        <v>1</v>
      </c>
    </row>
    <row r="45" spans="3:23" x14ac:dyDescent="0.3">
      <c r="H45" s="1">
        <f t="shared" si="13"/>
        <v>61</v>
      </c>
      <c r="I45" s="1">
        <f>I44+0.2*(I49-I44)</f>
        <v>0.29127999999999998</v>
      </c>
      <c r="J45" s="1">
        <f t="shared" si="9"/>
        <v>1</v>
      </c>
      <c r="K45" s="1">
        <f t="shared" si="9"/>
        <v>1</v>
      </c>
      <c r="L45" s="1">
        <f t="shared" si="9"/>
        <v>1</v>
      </c>
      <c r="M45" s="1">
        <f t="shared" si="10"/>
        <v>1</v>
      </c>
      <c r="N45" s="1">
        <f t="shared" si="14"/>
        <v>1</v>
      </c>
      <c r="O45" s="1">
        <f t="shared" si="15"/>
        <v>1</v>
      </c>
      <c r="P45" s="1">
        <f t="shared" si="3"/>
        <v>61</v>
      </c>
      <c r="Q45" s="88">
        <f t="shared" si="11"/>
        <v>1</v>
      </c>
      <c r="R45" s="88">
        <f t="shared" si="4"/>
        <v>1</v>
      </c>
      <c r="S45" s="88">
        <f t="shared" si="5"/>
        <v>1</v>
      </c>
    </row>
    <row r="46" spans="3:23" x14ac:dyDescent="0.3">
      <c r="H46" s="1">
        <f t="shared" si="13"/>
        <v>62</v>
      </c>
      <c r="I46" s="1">
        <f>I44+0.4*(I49-I44)</f>
        <v>0.28271999999999997</v>
      </c>
      <c r="J46" s="1">
        <f t="shared" si="9"/>
        <v>1</v>
      </c>
      <c r="K46" s="1">
        <f t="shared" si="9"/>
        <v>1</v>
      </c>
      <c r="L46" s="1">
        <f t="shared" si="9"/>
        <v>1</v>
      </c>
      <c r="M46" s="1">
        <f t="shared" si="10"/>
        <v>1</v>
      </c>
      <c r="N46" s="1">
        <f t="shared" si="14"/>
        <v>1</v>
      </c>
      <c r="O46" s="1">
        <f t="shared" si="15"/>
        <v>1</v>
      </c>
      <c r="P46" s="1">
        <f t="shared" si="3"/>
        <v>62</v>
      </c>
      <c r="Q46" s="88">
        <f t="shared" si="11"/>
        <v>1</v>
      </c>
      <c r="R46" s="88">
        <f t="shared" si="4"/>
        <v>1</v>
      </c>
      <c r="S46" s="88">
        <f t="shared" si="5"/>
        <v>1</v>
      </c>
    </row>
    <row r="47" spans="3:23" x14ac:dyDescent="0.3">
      <c r="H47" s="1">
        <f t="shared" si="13"/>
        <v>63</v>
      </c>
      <c r="I47" s="1">
        <f>I44+0.6*(I49-I44)</f>
        <v>0.27416000000000001</v>
      </c>
      <c r="J47" s="1">
        <f t="shared" si="9"/>
        <v>1</v>
      </c>
      <c r="K47" s="1">
        <f t="shared" si="9"/>
        <v>1</v>
      </c>
      <c r="L47" s="1">
        <f t="shared" si="9"/>
        <v>1</v>
      </c>
      <c r="M47" s="1">
        <f t="shared" si="10"/>
        <v>1</v>
      </c>
      <c r="N47" s="1">
        <f t="shared" si="14"/>
        <v>1</v>
      </c>
      <c r="O47" s="1">
        <f t="shared" si="15"/>
        <v>1</v>
      </c>
      <c r="P47" s="1">
        <f t="shared" si="3"/>
        <v>63</v>
      </c>
      <c r="Q47" s="88">
        <f t="shared" si="11"/>
        <v>1</v>
      </c>
      <c r="R47" s="88">
        <f t="shared" si="4"/>
        <v>1</v>
      </c>
      <c r="S47" s="88">
        <f t="shared" si="5"/>
        <v>1</v>
      </c>
    </row>
    <row r="48" spans="3:23" x14ac:dyDescent="0.3">
      <c r="H48" s="1">
        <f t="shared" si="13"/>
        <v>64</v>
      </c>
      <c r="I48" s="1">
        <f>I44+0.8*(I49-I44)</f>
        <v>0.2656</v>
      </c>
      <c r="J48" s="1">
        <f t="shared" si="9"/>
        <v>1</v>
      </c>
      <c r="K48" s="1">
        <f t="shared" si="9"/>
        <v>1</v>
      </c>
      <c r="L48" s="1">
        <f t="shared" si="9"/>
        <v>1</v>
      </c>
      <c r="M48" s="1">
        <f t="shared" si="10"/>
        <v>1</v>
      </c>
      <c r="N48" s="1">
        <f t="shared" si="14"/>
        <v>1</v>
      </c>
      <c r="O48" s="1">
        <f t="shared" si="15"/>
        <v>1</v>
      </c>
      <c r="P48" s="1">
        <f t="shared" si="3"/>
        <v>64</v>
      </c>
      <c r="Q48" s="88">
        <f t="shared" si="11"/>
        <v>1</v>
      </c>
      <c r="R48" s="88">
        <f t="shared" si="4"/>
        <v>1</v>
      </c>
      <c r="S48" s="88">
        <f t="shared" si="5"/>
        <v>1</v>
      </c>
    </row>
    <row r="49" spans="8:19" x14ac:dyDescent="0.3">
      <c r="H49" s="1">
        <f t="shared" si="13"/>
        <v>65</v>
      </c>
      <c r="I49" s="1">
        <v>0.25703999999999999</v>
      </c>
      <c r="J49" s="1">
        <f t="shared" si="9"/>
        <v>1</v>
      </c>
      <c r="K49" s="1">
        <f t="shared" si="9"/>
        <v>1</v>
      </c>
      <c r="L49" s="1">
        <f t="shared" si="9"/>
        <v>1</v>
      </c>
      <c r="M49" s="1">
        <f t="shared" si="10"/>
        <v>1</v>
      </c>
      <c r="N49" s="1">
        <f t="shared" si="14"/>
        <v>1</v>
      </c>
      <c r="O49" s="1">
        <f t="shared" si="15"/>
        <v>1</v>
      </c>
      <c r="P49" s="1">
        <f t="shared" si="3"/>
        <v>65</v>
      </c>
      <c r="Q49" s="88">
        <f t="shared" si="11"/>
        <v>1</v>
      </c>
      <c r="R49" s="88">
        <f t="shared" si="4"/>
        <v>1</v>
      </c>
      <c r="S49" s="88">
        <f t="shared" si="5"/>
        <v>1</v>
      </c>
    </row>
    <row r="50" spans="8:19" x14ac:dyDescent="0.3">
      <c r="H50" s="1">
        <f t="shared" si="13"/>
        <v>66</v>
      </c>
      <c r="I50" s="1">
        <f>I49+0.2*(I54-I49)</f>
        <v>0.24987799999999999</v>
      </c>
      <c r="J50" s="1">
        <f t="shared" si="9"/>
        <v>1</v>
      </c>
      <c r="K50" s="1">
        <f t="shared" si="9"/>
        <v>1</v>
      </c>
      <c r="L50" s="1">
        <f t="shared" si="9"/>
        <v>1</v>
      </c>
      <c r="M50" s="1">
        <f t="shared" si="10"/>
        <v>1</v>
      </c>
      <c r="N50" s="1">
        <f t="shared" si="14"/>
        <v>1</v>
      </c>
      <c r="O50" s="1">
        <f t="shared" si="15"/>
        <v>1</v>
      </c>
      <c r="P50" s="1">
        <f t="shared" si="3"/>
        <v>66</v>
      </c>
      <c r="Q50" s="88">
        <f t="shared" si="11"/>
        <v>1</v>
      </c>
      <c r="R50" s="88">
        <f t="shared" si="4"/>
        <v>1</v>
      </c>
      <c r="S50" s="88">
        <f t="shared" si="5"/>
        <v>1</v>
      </c>
    </row>
    <row r="51" spans="8:19" x14ac:dyDescent="0.3">
      <c r="H51" s="1">
        <f t="shared" si="13"/>
        <v>67</v>
      </c>
      <c r="I51" s="1">
        <f>I49+0.4*(I54-I49)</f>
        <v>0.24271599999999999</v>
      </c>
      <c r="J51" s="1">
        <f t="shared" si="9"/>
        <v>1</v>
      </c>
      <c r="K51" s="1">
        <f t="shared" si="9"/>
        <v>1</v>
      </c>
      <c r="L51" s="1">
        <f t="shared" si="9"/>
        <v>1</v>
      </c>
      <c r="M51" s="1">
        <f t="shared" si="10"/>
        <v>1</v>
      </c>
      <c r="N51" s="1">
        <f t="shared" si="14"/>
        <v>1</v>
      </c>
      <c r="O51" s="1">
        <f t="shared" si="15"/>
        <v>1</v>
      </c>
      <c r="P51" s="1">
        <f t="shared" si="3"/>
        <v>67</v>
      </c>
      <c r="Q51" s="88">
        <f t="shared" si="11"/>
        <v>1</v>
      </c>
      <c r="R51" s="88">
        <f t="shared" si="4"/>
        <v>1</v>
      </c>
      <c r="S51" s="88">
        <f t="shared" si="5"/>
        <v>1</v>
      </c>
    </row>
    <row r="52" spans="8:19" x14ac:dyDescent="0.3">
      <c r="H52" s="1">
        <f t="shared" si="13"/>
        <v>68</v>
      </c>
      <c r="I52" s="1">
        <f>I49+0.6*(I54-I49)</f>
        <v>0.23555400000000001</v>
      </c>
      <c r="J52" s="1">
        <f t="shared" si="9"/>
        <v>1</v>
      </c>
      <c r="K52" s="1">
        <f t="shared" si="9"/>
        <v>1</v>
      </c>
      <c r="L52" s="1">
        <f t="shared" si="9"/>
        <v>1</v>
      </c>
      <c r="M52" s="1">
        <f t="shared" si="10"/>
        <v>1</v>
      </c>
      <c r="N52" s="1">
        <f t="shared" si="14"/>
        <v>1</v>
      </c>
      <c r="O52" s="1">
        <f t="shared" si="15"/>
        <v>1</v>
      </c>
      <c r="P52" s="1">
        <f t="shared" si="3"/>
        <v>68</v>
      </c>
      <c r="Q52" s="88">
        <f t="shared" si="11"/>
        <v>1</v>
      </c>
      <c r="R52" s="88">
        <f t="shared" si="4"/>
        <v>1</v>
      </c>
      <c r="S52" s="88">
        <f t="shared" si="5"/>
        <v>1</v>
      </c>
    </row>
    <row r="53" spans="8:19" x14ac:dyDescent="0.3">
      <c r="H53" s="1">
        <f t="shared" si="13"/>
        <v>69</v>
      </c>
      <c r="I53" s="1">
        <f>I49+0.8*(I54-I49)</f>
        <v>0.22839200000000001</v>
      </c>
      <c r="J53" s="1">
        <f t="shared" si="9"/>
        <v>1</v>
      </c>
      <c r="K53" s="1">
        <f t="shared" si="9"/>
        <v>1</v>
      </c>
      <c r="L53" s="1">
        <f t="shared" si="9"/>
        <v>1</v>
      </c>
      <c r="M53" s="1">
        <f t="shared" si="10"/>
        <v>1</v>
      </c>
      <c r="N53" s="1">
        <f t="shared" si="14"/>
        <v>1</v>
      </c>
      <c r="O53" s="1">
        <f t="shared" si="15"/>
        <v>1</v>
      </c>
      <c r="P53" s="1">
        <f t="shared" si="3"/>
        <v>69</v>
      </c>
      <c r="Q53" s="88">
        <f t="shared" si="11"/>
        <v>1</v>
      </c>
      <c r="R53" s="88">
        <f t="shared" si="4"/>
        <v>1</v>
      </c>
      <c r="S53" s="88">
        <f t="shared" si="5"/>
        <v>1</v>
      </c>
    </row>
    <row r="54" spans="8:19" x14ac:dyDescent="0.3">
      <c r="H54" s="1">
        <f t="shared" si="13"/>
        <v>70</v>
      </c>
      <c r="I54" s="1">
        <v>0.22123000000000001</v>
      </c>
      <c r="J54" s="1">
        <f t="shared" si="9"/>
        <v>1</v>
      </c>
      <c r="K54" s="1">
        <f t="shared" si="9"/>
        <v>1</v>
      </c>
      <c r="L54" s="1">
        <f t="shared" si="9"/>
        <v>1</v>
      </c>
      <c r="M54" s="1">
        <f t="shared" si="10"/>
        <v>1</v>
      </c>
      <c r="N54" s="1">
        <f t="shared" si="14"/>
        <v>1</v>
      </c>
      <c r="O54" s="1">
        <f t="shared" si="15"/>
        <v>1</v>
      </c>
      <c r="P54" s="1">
        <f t="shared" si="3"/>
        <v>70</v>
      </c>
      <c r="Q54" s="88">
        <f t="shared" si="11"/>
        <v>1</v>
      </c>
      <c r="R54" s="88">
        <f t="shared" si="4"/>
        <v>1</v>
      </c>
      <c r="S54" s="88">
        <f t="shared" si="5"/>
        <v>1</v>
      </c>
    </row>
    <row r="55" spans="8:19" x14ac:dyDescent="0.3">
      <c r="H55" s="1">
        <f t="shared" si="13"/>
        <v>71</v>
      </c>
      <c r="I55" s="1">
        <f>I54+0.2*(I59-I54)</f>
        <v>0.21521200000000001</v>
      </c>
      <c r="J55" s="1">
        <f t="shared" si="9"/>
        <v>1</v>
      </c>
      <c r="K55" s="1">
        <f t="shared" si="9"/>
        <v>1</v>
      </c>
      <c r="L55" s="1">
        <f t="shared" si="9"/>
        <v>1</v>
      </c>
      <c r="M55" s="1">
        <f t="shared" si="10"/>
        <v>1</v>
      </c>
      <c r="N55" s="1">
        <f t="shared" si="14"/>
        <v>1</v>
      </c>
      <c r="O55" s="1">
        <f t="shared" si="15"/>
        <v>1</v>
      </c>
      <c r="P55" s="1">
        <f t="shared" si="3"/>
        <v>71</v>
      </c>
      <c r="Q55" s="88">
        <f t="shared" si="11"/>
        <v>1</v>
      </c>
      <c r="R55" s="88">
        <f t="shared" si="4"/>
        <v>1</v>
      </c>
      <c r="S55" s="88">
        <f t="shared" si="5"/>
        <v>1</v>
      </c>
    </row>
    <row r="56" spans="8:19" x14ac:dyDescent="0.3">
      <c r="H56" s="1">
        <f t="shared" si="13"/>
        <v>72</v>
      </c>
      <c r="I56" s="1">
        <f>I54+0.4*(I59-I54)</f>
        <v>0.20919400000000002</v>
      </c>
      <c r="J56" s="1">
        <f t="shared" si="9"/>
        <v>1</v>
      </c>
      <c r="K56" s="1">
        <f t="shared" si="9"/>
        <v>1</v>
      </c>
      <c r="L56" s="1">
        <f t="shared" si="9"/>
        <v>1</v>
      </c>
      <c r="M56" s="1">
        <f t="shared" si="10"/>
        <v>1</v>
      </c>
      <c r="N56" s="1">
        <f t="shared" si="14"/>
        <v>1</v>
      </c>
      <c r="O56" s="1">
        <f t="shared" si="15"/>
        <v>1</v>
      </c>
      <c r="P56" s="1">
        <f t="shared" si="3"/>
        <v>72</v>
      </c>
      <c r="Q56" s="88">
        <f t="shared" si="11"/>
        <v>1</v>
      </c>
      <c r="R56" s="88">
        <f t="shared" si="4"/>
        <v>1</v>
      </c>
      <c r="S56" s="88">
        <f t="shared" si="5"/>
        <v>1</v>
      </c>
    </row>
    <row r="57" spans="8:19" x14ac:dyDescent="0.3">
      <c r="H57" s="1">
        <f t="shared" si="13"/>
        <v>73</v>
      </c>
      <c r="I57" s="1">
        <f>I54+0.6*(I59-I54)</f>
        <v>0.203176</v>
      </c>
      <c r="J57" s="1">
        <f t="shared" si="9"/>
        <v>1</v>
      </c>
      <c r="K57" s="1">
        <f t="shared" si="9"/>
        <v>1</v>
      </c>
      <c r="L57" s="1">
        <f t="shared" si="9"/>
        <v>1</v>
      </c>
      <c r="M57" s="1">
        <f t="shared" si="10"/>
        <v>1</v>
      </c>
      <c r="N57" s="1">
        <f t="shared" si="14"/>
        <v>1</v>
      </c>
      <c r="O57" s="1">
        <f t="shared" si="15"/>
        <v>1</v>
      </c>
      <c r="P57" s="1">
        <f t="shared" si="3"/>
        <v>73</v>
      </c>
      <c r="Q57" s="88">
        <f t="shared" si="11"/>
        <v>1</v>
      </c>
      <c r="R57" s="88">
        <f t="shared" si="4"/>
        <v>1</v>
      </c>
      <c r="S57" s="88">
        <f t="shared" si="5"/>
        <v>1</v>
      </c>
    </row>
    <row r="58" spans="8:19" x14ac:dyDescent="0.3">
      <c r="H58" s="1">
        <f t="shared" si="13"/>
        <v>74</v>
      </c>
      <c r="I58" s="1">
        <f>I54+0.8*(I59-I54)</f>
        <v>0.197158</v>
      </c>
      <c r="J58" s="1">
        <f t="shared" si="9"/>
        <v>1</v>
      </c>
      <c r="K58" s="1">
        <f t="shared" si="9"/>
        <v>1</v>
      </c>
      <c r="L58" s="1">
        <f t="shared" si="9"/>
        <v>1</v>
      </c>
      <c r="M58" s="1">
        <f t="shared" si="10"/>
        <v>1</v>
      </c>
      <c r="N58" s="1">
        <f t="shared" si="14"/>
        <v>1</v>
      </c>
      <c r="O58" s="1">
        <f t="shared" si="15"/>
        <v>1</v>
      </c>
      <c r="P58" s="1">
        <f t="shared" si="3"/>
        <v>74</v>
      </c>
      <c r="Q58" s="88">
        <f t="shared" si="11"/>
        <v>1</v>
      </c>
      <c r="R58" s="88">
        <f t="shared" si="4"/>
        <v>1</v>
      </c>
      <c r="S58" s="88">
        <f t="shared" si="5"/>
        <v>1</v>
      </c>
    </row>
    <row r="59" spans="8:19" x14ac:dyDescent="0.3">
      <c r="H59" s="1">
        <f t="shared" si="13"/>
        <v>75</v>
      </c>
      <c r="I59" s="1">
        <v>0.19114</v>
      </c>
      <c r="J59" s="1">
        <f t="shared" si="9"/>
        <v>1</v>
      </c>
      <c r="K59" s="1">
        <f t="shared" si="9"/>
        <v>1</v>
      </c>
      <c r="L59" s="1">
        <f t="shared" si="9"/>
        <v>1</v>
      </c>
      <c r="M59" s="1">
        <f t="shared" si="10"/>
        <v>1</v>
      </c>
      <c r="N59" s="1">
        <f t="shared" si="14"/>
        <v>1</v>
      </c>
      <c r="O59" s="1">
        <f t="shared" si="15"/>
        <v>1</v>
      </c>
      <c r="P59" s="1">
        <f t="shared" si="3"/>
        <v>75</v>
      </c>
      <c r="Q59" s="88">
        <f t="shared" si="11"/>
        <v>1</v>
      </c>
      <c r="R59" s="88">
        <f t="shared" si="4"/>
        <v>1</v>
      </c>
      <c r="S59" s="88">
        <f t="shared" si="5"/>
        <v>1</v>
      </c>
    </row>
    <row r="60" spans="8:19" x14ac:dyDescent="0.3">
      <c r="H60" s="1">
        <f t="shared" si="13"/>
        <v>76</v>
      </c>
      <c r="I60" s="1">
        <f>I59+0.2*(I64-I59)</f>
        <v>0.18606600000000001</v>
      </c>
      <c r="J60" s="1">
        <f t="shared" si="9"/>
        <v>1</v>
      </c>
      <c r="K60" s="1">
        <f t="shared" si="9"/>
        <v>1</v>
      </c>
      <c r="L60" s="1">
        <f t="shared" si="9"/>
        <v>1</v>
      </c>
      <c r="M60" s="1">
        <f t="shared" si="10"/>
        <v>1</v>
      </c>
      <c r="N60" s="1">
        <f t="shared" si="14"/>
        <v>1</v>
      </c>
      <c r="O60" s="1">
        <f t="shared" si="15"/>
        <v>1</v>
      </c>
      <c r="P60" s="1">
        <f t="shared" si="3"/>
        <v>76</v>
      </c>
      <c r="Q60" s="88">
        <f t="shared" si="11"/>
        <v>1</v>
      </c>
      <c r="R60" s="88">
        <f t="shared" si="4"/>
        <v>1</v>
      </c>
      <c r="S60" s="88">
        <f t="shared" si="5"/>
        <v>1</v>
      </c>
    </row>
    <row r="61" spans="8:19" x14ac:dyDescent="0.3">
      <c r="H61" s="1">
        <f t="shared" si="13"/>
        <v>77</v>
      </c>
      <c r="I61" s="1">
        <f>I59+0.4*(I64-I59)</f>
        <v>0.18099200000000001</v>
      </c>
      <c r="J61" s="1">
        <f t="shared" si="9"/>
        <v>1</v>
      </c>
      <c r="K61" s="1">
        <f t="shared" si="9"/>
        <v>1</v>
      </c>
      <c r="L61" s="1">
        <f t="shared" si="9"/>
        <v>1</v>
      </c>
      <c r="M61" s="1">
        <f t="shared" si="10"/>
        <v>1</v>
      </c>
      <c r="N61" s="1">
        <f t="shared" si="14"/>
        <v>1</v>
      </c>
      <c r="O61" s="1">
        <f t="shared" si="15"/>
        <v>1</v>
      </c>
      <c r="P61" s="1">
        <f t="shared" si="3"/>
        <v>77</v>
      </c>
      <c r="Q61" s="88">
        <f t="shared" si="11"/>
        <v>1</v>
      </c>
      <c r="R61" s="88">
        <f t="shared" si="4"/>
        <v>1</v>
      </c>
      <c r="S61" s="88">
        <f t="shared" si="5"/>
        <v>1</v>
      </c>
    </row>
    <row r="62" spans="8:19" x14ac:dyDescent="0.3">
      <c r="H62" s="1">
        <f t="shared" si="13"/>
        <v>78</v>
      </c>
      <c r="I62" s="1">
        <f>I59+0.6*(I64-I59)</f>
        <v>0.17591799999999999</v>
      </c>
      <c r="J62" s="1">
        <f t="shared" si="9"/>
        <v>1</v>
      </c>
      <c r="K62" s="1">
        <f t="shared" si="9"/>
        <v>1</v>
      </c>
      <c r="L62" s="1">
        <f t="shared" si="9"/>
        <v>1</v>
      </c>
      <c r="M62" s="1">
        <f t="shared" si="10"/>
        <v>1</v>
      </c>
      <c r="N62" s="1">
        <f t="shared" si="14"/>
        <v>1</v>
      </c>
      <c r="O62" s="1">
        <f t="shared" si="15"/>
        <v>1</v>
      </c>
      <c r="P62" s="1">
        <f t="shared" si="3"/>
        <v>78</v>
      </c>
      <c r="Q62" s="88">
        <f t="shared" si="11"/>
        <v>1</v>
      </c>
      <c r="R62" s="88">
        <f t="shared" si="4"/>
        <v>1</v>
      </c>
      <c r="S62" s="88">
        <f t="shared" si="5"/>
        <v>1</v>
      </c>
    </row>
    <row r="63" spans="8:19" x14ac:dyDescent="0.3">
      <c r="H63" s="1">
        <f t="shared" si="13"/>
        <v>79</v>
      </c>
      <c r="I63" s="1">
        <f>I59+0.8*(I64-I59)</f>
        <v>0.170844</v>
      </c>
      <c r="J63" s="1">
        <f t="shared" si="9"/>
        <v>1</v>
      </c>
      <c r="K63" s="1">
        <f t="shared" si="9"/>
        <v>1</v>
      </c>
      <c r="L63" s="1">
        <f t="shared" si="9"/>
        <v>1</v>
      </c>
      <c r="M63" s="1">
        <f t="shared" si="10"/>
        <v>1</v>
      </c>
      <c r="N63" s="1">
        <f t="shared" si="14"/>
        <v>1</v>
      </c>
      <c r="O63" s="1">
        <f t="shared" si="15"/>
        <v>1</v>
      </c>
      <c r="P63" s="1">
        <f t="shared" si="3"/>
        <v>79</v>
      </c>
      <c r="Q63" s="88">
        <f t="shared" si="11"/>
        <v>1</v>
      </c>
      <c r="R63" s="88">
        <f t="shared" si="4"/>
        <v>1</v>
      </c>
      <c r="S63" s="88">
        <f t="shared" si="5"/>
        <v>1</v>
      </c>
    </row>
    <row r="64" spans="8:19" x14ac:dyDescent="0.3">
      <c r="H64" s="1">
        <f t="shared" si="13"/>
        <v>80</v>
      </c>
      <c r="I64" s="1">
        <v>0.16577</v>
      </c>
      <c r="J64" s="1">
        <f t="shared" si="9"/>
        <v>1</v>
      </c>
      <c r="K64" s="1">
        <f t="shared" si="9"/>
        <v>1</v>
      </c>
      <c r="L64" s="1">
        <f t="shared" si="9"/>
        <v>1</v>
      </c>
      <c r="M64" s="1">
        <f t="shared" si="10"/>
        <v>1</v>
      </c>
      <c r="N64" s="1">
        <f t="shared" si="14"/>
        <v>1</v>
      </c>
      <c r="O64" s="1">
        <f t="shared" si="15"/>
        <v>1</v>
      </c>
      <c r="P64" s="1">
        <f t="shared" si="3"/>
        <v>80</v>
      </c>
      <c r="Q64" s="88">
        <f t="shared" si="11"/>
        <v>1</v>
      </c>
      <c r="R64" s="88">
        <f t="shared" si="4"/>
        <v>1</v>
      </c>
      <c r="S64" s="88">
        <f t="shared" si="5"/>
        <v>1</v>
      </c>
    </row>
    <row r="65" spans="8:19" x14ac:dyDescent="0.3">
      <c r="H65" s="1">
        <f t="shared" si="13"/>
        <v>81</v>
      </c>
      <c r="I65" s="1">
        <f>I64+0.2*(I69-I64)</f>
        <v>0.16147</v>
      </c>
      <c r="J65" s="1">
        <f t="shared" si="9"/>
        <v>1</v>
      </c>
      <c r="K65" s="1">
        <f t="shared" si="9"/>
        <v>1</v>
      </c>
      <c r="L65" s="1">
        <f t="shared" si="9"/>
        <v>1</v>
      </c>
      <c r="M65" s="1">
        <f t="shared" si="10"/>
        <v>1</v>
      </c>
      <c r="N65" s="1">
        <f t="shared" si="14"/>
        <v>1</v>
      </c>
      <c r="O65" s="1">
        <f t="shared" si="15"/>
        <v>1</v>
      </c>
      <c r="P65" s="1">
        <f t="shared" si="3"/>
        <v>81</v>
      </c>
      <c r="Q65" s="88">
        <f t="shared" si="11"/>
        <v>1</v>
      </c>
      <c r="R65" s="88">
        <f t="shared" si="4"/>
        <v>1</v>
      </c>
      <c r="S65" s="88">
        <f t="shared" si="5"/>
        <v>1</v>
      </c>
    </row>
    <row r="66" spans="8:19" x14ac:dyDescent="0.3">
      <c r="H66" s="1">
        <f t="shared" si="13"/>
        <v>82</v>
      </c>
      <c r="I66" s="1">
        <f>I64+0.4*(I69-I64)</f>
        <v>0.15717</v>
      </c>
      <c r="J66" s="1">
        <f t="shared" si="9"/>
        <v>1</v>
      </c>
      <c r="K66" s="1">
        <f t="shared" si="9"/>
        <v>1</v>
      </c>
      <c r="L66" s="1">
        <f t="shared" si="9"/>
        <v>1</v>
      </c>
      <c r="M66" s="1">
        <f t="shared" si="10"/>
        <v>1</v>
      </c>
      <c r="N66" s="1">
        <f t="shared" si="14"/>
        <v>1</v>
      </c>
      <c r="O66" s="1">
        <f t="shared" si="15"/>
        <v>1</v>
      </c>
      <c r="P66" s="1">
        <f t="shared" si="3"/>
        <v>82</v>
      </c>
      <c r="Q66" s="88">
        <f t="shared" si="11"/>
        <v>1</v>
      </c>
      <c r="R66" s="88">
        <f t="shared" si="4"/>
        <v>1</v>
      </c>
      <c r="S66" s="88">
        <f t="shared" si="5"/>
        <v>1</v>
      </c>
    </row>
    <row r="67" spans="8:19" x14ac:dyDescent="0.3">
      <c r="H67" s="1">
        <f t="shared" si="13"/>
        <v>83</v>
      </c>
      <c r="I67" s="1">
        <f>I64+0.6*(I69-I64)</f>
        <v>0.15287000000000001</v>
      </c>
      <c r="J67" s="1">
        <f t="shared" si="9"/>
        <v>1</v>
      </c>
      <c r="K67" s="1">
        <f t="shared" si="9"/>
        <v>1</v>
      </c>
      <c r="L67" s="1">
        <f t="shared" si="9"/>
        <v>1</v>
      </c>
      <c r="M67" s="1">
        <f t="shared" si="10"/>
        <v>1</v>
      </c>
      <c r="N67" s="1">
        <f t="shared" si="14"/>
        <v>1</v>
      </c>
      <c r="O67" s="1">
        <f t="shared" si="15"/>
        <v>1</v>
      </c>
      <c r="P67" s="1">
        <f t="shared" si="3"/>
        <v>83</v>
      </c>
      <c r="Q67" s="88">
        <f t="shared" si="11"/>
        <v>1</v>
      </c>
      <c r="R67" s="88">
        <f t="shared" si="4"/>
        <v>1</v>
      </c>
      <c r="S67" s="88">
        <f t="shared" si="5"/>
        <v>1</v>
      </c>
    </row>
    <row r="68" spans="8:19" x14ac:dyDescent="0.3">
      <c r="H68" s="1">
        <f t="shared" si="13"/>
        <v>84</v>
      </c>
      <c r="I68" s="1">
        <f>I64+0.8*(I69-I64)</f>
        <v>0.14857000000000001</v>
      </c>
      <c r="J68" s="1">
        <f t="shared" si="9"/>
        <v>1</v>
      </c>
      <c r="K68" s="1">
        <f t="shared" si="9"/>
        <v>1</v>
      </c>
      <c r="L68" s="1">
        <f t="shared" si="9"/>
        <v>1</v>
      </c>
      <c r="M68" s="1">
        <f t="shared" si="10"/>
        <v>1</v>
      </c>
      <c r="N68" s="1">
        <f t="shared" si="14"/>
        <v>1</v>
      </c>
      <c r="O68" s="1">
        <f t="shared" si="15"/>
        <v>1</v>
      </c>
      <c r="P68" s="1">
        <f t="shared" si="3"/>
        <v>84</v>
      </c>
      <c r="Q68" s="88">
        <f t="shared" si="11"/>
        <v>1</v>
      </c>
      <c r="R68" s="88">
        <f t="shared" si="4"/>
        <v>1</v>
      </c>
      <c r="S68" s="88">
        <f t="shared" si="5"/>
        <v>1</v>
      </c>
    </row>
    <row r="69" spans="8:19" x14ac:dyDescent="0.3">
      <c r="H69" s="1">
        <f t="shared" si="13"/>
        <v>85</v>
      </c>
      <c r="I69" s="1">
        <v>0.14427000000000001</v>
      </c>
      <c r="J69" s="1">
        <f t="shared" si="9"/>
        <v>1</v>
      </c>
      <c r="K69" s="1">
        <f t="shared" si="9"/>
        <v>1</v>
      </c>
      <c r="L69" s="1">
        <f t="shared" si="9"/>
        <v>1</v>
      </c>
      <c r="M69" s="1">
        <f t="shared" si="10"/>
        <v>1</v>
      </c>
      <c r="N69" s="1">
        <f t="shared" si="14"/>
        <v>1</v>
      </c>
      <c r="O69" s="1">
        <f t="shared" si="15"/>
        <v>1</v>
      </c>
      <c r="P69" s="1">
        <f t="shared" si="3"/>
        <v>85</v>
      </c>
      <c r="Q69" s="88">
        <f t="shared" si="11"/>
        <v>1</v>
      </c>
      <c r="R69" s="88">
        <f t="shared" si="4"/>
        <v>1</v>
      </c>
      <c r="S69" s="88">
        <f t="shared" si="5"/>
        <v>1</v>
      </c>
    </row>
    <row r="70" spans="8:19" x14ac:dyDescent="0.3">
      <c r="H70" s="1">
        <f t="shared" si="13"/>
        <v>86</v>
      </c>
      <c r="I70" s="1">
        <f>I69+0.2*(I74-I69)</f>
        <v>0.14061600000000002</v>
      </c>
      <c r="J70" s="1">
        <f t="shared" si="9"/>
        <v>1</v>
      </c>
      <c r="K70" s="1">
        <f t="shared" si="9"/>
        <v>1</v>
      </c>
      <c r="L70" s="1">
        <f t="shared" si="9"/>
        <v>1</v>
      </c>
      <c r="M70" s="1">
        <f t="shared" si="10"/>
        <v>1</v>
      </c>
      <c r="N70" s="1">
        <f t="shared" si="14"/>
        <v>1</v>
      </c>
      <c r="O70" s="1">
        <f t="shared" si="15"/>
        <v>1</v>
      </c>
      <c r="P70" s="1">
        <f t="shared" si="3"/>
        <v>86</v>
      </c>
      <c r="Q70" s="88">
        <f t="shared" si="11"/>
        <v>1</v>
      </c>
      <c r="R70" s="88">
        <f t="shared" si="4"/>
        <v>1</v>
      </c>
      <c r="S70" s="88">
        <f t="shared" si="5"/>
        <v>1</v>
      </c>
    </row>
    <row r="71" spans="8:19" x14ac:dyDescent="0.3">
      <c r="H71" s="1">
        <f t="shared" si="13"/>
        <v>87</v>
      </c>
      <c r="I71" s="1">
        <f>I69+0.4*(I74-I69)</f>
        <v>0.136962</v>
      </c>
      <c r="J71" s="1">
        <f t="shared" si="9"/>
        <v>1</v>
      </c>
      <c r="K71" s="1">
        <f t="shared" si="9"/>
        <v>1</v>
      </c>
      <c r="L71" s="1">
        <f t="shared" si="9"/>
        <v>1</v>
      </c>
      <c r="M71" s="1">
        <f t="shared" si="10"/>
        <v>1</v>
      </c>
      <c r="N71" s="1">
        <f t="shared" si="14"/>
        <v>1</v>
      </c>
      <c r="O71" s="1">
        <f t="shared" si="15"/>
        <v>1</v>
      </c>
      <c r="P71" s="1">
        <f t="shared" si="3"/>
        <v>87</v>
      </c>
      <c r="Q71" s="88">
        <f t="shared" si="11"/>
        <v>1</v>
      </c>
      <c r="R71" s="88">
        <f t="shared" si="4"/>
        <v>1</v>
      </c>
      <c r="S71" s="88">
        <f t="shared" si="5"/>
        <v>1</v>
      </c>
    </row>
    <row r="72" spans="8:19" x14ac:dyDescent="0.3">
      <c r="H72" s="1">
        <f t="shared" si="13"/>
        <v>88</v>
      </c>
      <c r="I72" s="1">
        <f>I69+0.6*(I74-I69)</f>
        <v>0.13330800000000001</v>
      </c>
      <c r="J72" s="1">
        <f t="shared" si="9"/>
        <v>1</v>
      </c>
      <c r="K72" s="1">
        <f t="shared" si="9"/>
        <v>1</v>
      </c>
      <c r="L72" s="1">
        <f t="shared" si="9"/>
        <v>1</v>
      </c>
      <c r="M72" s="1">
        <f t="shared" si="10"/>
        <v>1</v>
      </c>
      <c r="N72" s="1">
        <f t="shared" si="14"/>
        <v>1</v>
      </c>
      <c r="O72" s="1">
        <f t="shared" si="15"/>
        <v>1</v>
      </c>
      <c r="P72" s="1">
        <f t="shared" si="3"/>
        <v>88</v>
      </c>
      <c r="Q72" s="88">
        <f t="shared" si="11"/>
        <v>1</v>
      </c>
      <c r="R72" s="88">
        <f t="shared" si="4"/>
        <v>1</v>
      </c>
      <c r="S72" s="88">
        <f t="shared" si="5"/>
        <v>1</v>
      </c>
    </row>
    <row r="73" spans="8:19" x14ac:dyDescent="0.3">
      <c r="H73" s="1">
        <f t="shared" si="13"/>
        <v>89</v>
      </c>
      <c r="I73" s="1">
        <f>I69+0.8*(I74-I69)</f>
        <v>0.12965399999999999</v>
      </c>
      <c r="J73" s="1">
        <f t="shared" si="9"/>
        <v>1</v>
      </c>
      <c r="K73" s="1">
        <f t="shared" si="9"/>
        <v>1</v>
      </c>
      <c r="L73" s="1">
        <f t="shared" si="9"/>
        <v>1</v>
      </c>
      <c r="M73" s="1">
        <f t="shared" si="10"/>
        <v>1</v>
      </c>
      <c r="N73" s="1">
        <f t="shared" si="14"/>
        <v>1</v>
      </c>
      <c r="O73" s="1">
        <f t="shared" si="15"/>
        <v>1</v>
      </c>
      <c r="P73" s="1">
        <f t="shared" ref="P73:P134" si="16">H73</f>
        <v>89</v>
      </c>
      <c r="Q73" s="88">
        <f t="shared" si="11"/>
        <v>1</v>
      </c>
      <c r="R73" s="88">
        <f t="shared" ref="R73:R134" si="17">IF(K73&gt;0.5,N73,0)</f>
        <v>1</v>
      </c>
      <c r="S73" s="88">
        <f t="shared" ref="S73:S134" si="18">IF(L73&gt;0.5,O73,0)</f>
        <v>1</v>
      </c>
    </row>
    <row r="74" spans="8:19" x14ac:dyDescent="0.3">
      <c r="H74" s="1">
        <f t="shared" si="13"/>
        <v>90</v>
      </c>
      <c r="I74" s="1">
        <v>0.126</v>
      </c>
      <c r="J74" s="1">
        <f t="shared" ref="J74:L134" si="19">IF((0.001*J$6*(($I74*$E$4)+$E$6))&gt;1,1,(0.001*J$6*(($I74*$E$4)+$E$6)))</f>
        <v>1</v>
      </c>
      <c r="K74" s="1">
        <f t="shared" si="19"/>
        <v>1</v>
      </c>
      <c r="L74" s="1">
        <f t="shared" si="19"/>
        <v>1</v>
      </c>
      <c r="M74" s="1">
        <f t="shared" ref="M74:M134" si="20">IF(J74&gt;0.68,1.563*J74-0.563,0.5)</f>
        <v>1</v>
      </c>
      <c r="N74" s="1">
        <f t="shared" si="14"/>
        <v>1</v>
      </c>
      <c r="O74" s="1">
        <f t="shared" si="15"/>
        <v>1</v>
      </c>
      <c r="P74" s="1">
        <f t="shared" si="16"/>
        <v>90</v>
      </c>
      <c r="Q74" s="88">
        <f t="shared" ref="Q74:Q134" si="21">IF(J74&gt;0.5,M74,0)</f>
        <v>1</v>
      </c>
      <c r="R74" s="88">
        <f t="shared" si="17"/>
        <v>1</v>
      </c>
      <c r="S74" s="88">
        <f t="shared" si="18"/>
        <v>1</v>
      </c>
    </row>
    <row r="75" spans="8:19" x14ac:dyDescent="0.3">
      <c r="H75" s="1">
        <f t="shared" ref="H75:H134" si="22">H74+1</f>
        <v>91</v>
      </c>
      <c r="I75" s="1">
        <f>I74+0.2*(I79-I74)</f>
        <v>0.12288200000000001</v>
      </c>
      <c r="J75" s="1">
        <f t="shared" si="19"/>
        <v>1</v>
      </c>
      <c r="K75" s="1">
        <f t="shared" si="19"/>
        <v>1</v>
      </c>
      <c r="L75" s="1">
        <f t="shared" si="19"/>
        <v>1</v>
      </c>
      <c r="M75" s="1">
        <f t="shared" si="20"/>
        <v>1</v>
      </c>
      <c r="N75" s="1">
        <f t="shared" si="14"/>
        <v>1</v>
      </c>
      <c r="O75" s="1">
        <f t="shared" si="15"/>
        <v>1</v>
      </c>
      <c r="P75" s="1">
        <f t="shared" si="16"/>
        <v>91</v>
      </c>
      <c r="Q75" s="88">
        <f t="shared" si="21"/>
        <v>1</v>
      </c>
      <c r="R75" s="88">
        <f t="shared" si="17"/>
        <v>1</v>
      </c>
      <c r="S75" s="88">
        <f t="shared" si="18"/>
        <v>1</v>
      </c>
    </row>
    <row r="76" spans="8:19" x14ac:dyDescent="0.3">
      <c r="H76" s="1">
        <f t="shared" si="22"/>
        <v>92</v>
      </c>
      <c r="I76" s="1">
        <f>I74+0.4*(I79-I74)</f>
        <v>0.119764</v>
      </c>
      <c r="J76" s="1">
        <f t="shared" si="19"/>
        <v>1</v>
      </c>
      <c r="K76" s="1">
        <f t="shared" si="19"/>
        <v>1</v>
      </c>
      <c r="L76" s="1">
        <f t="shared" si="19"/>
        <v>1</v>
      </c>
      <c r="M76" s="1">
        <f t="shared" si="20"/>
        <v>1</v>
      </c>
      <c r="N76" s="1">
        <f t="shared" si="14"/>
        <v>1</v>
      </c>
      <c r="O76" s="1">
        <f t="shared" si="15"/>
        <v>1</v>
      </c>
      <c r="P76" s="1">
        <f t="shared" si="16"/>
        <v>92</v>
      </c>
      <c r="Q76" s="88">
        <f t="shared" si="21"/>
        <v>1</v>
      </c>
      <c r="R76" s="88">
        <f t="shared" si="17"/>
        <v>1</v>
      </c>
      <c r="S76" s="88">
        <f t="shared" si="18"/>
        <v>1</v>
      </c>
    </row>
    <row r="77" spans="8:19" x14ac:dyDescent="0.3">
      <c r="H77" s="1">
        <f t="shared" si="22"/>
        <v>93</v>
      </c>
      <c r="I77" s="1">
        <f>I74+0.6*(I79-I74)</f>
        <v>0.116646</v>
      </c>
      <c r="J77" s="1">
        <f t="shared" si="19"/>
        <v>1</v>
      </c>
      <c r="K77" s="1">
        <f t="shared" si="19"/>
        <v>1</v>
      </c>
      <c r="L77" s="1">
        <f t="shared" si="19"/>
        <v>1</v>
      </c>
      <c r="M77" s="1">
        <f t="shared" si="20"/>
        <v>1</v>
      </c>
      <c r="N77" s="1">
        <f t="shared" si="14"/>
        <v>1</v>
      </c>
      <c r="O77" s="1">
        <f t="shared" si="15"/>
        <v>1</v>
      </c>
      <c r="P77" s="1">
        <f t="shared" si="16"/>
        <v>93</v>
      </c>
      <c r="Q77" s="88">
        <f t="shared" si="21"/>
        <v>1</v>
      </c>
      <c r="R77" s="88">
        <f t="shared" si="17"/>
        <v>1</v>
      </c>
      <c r="S77" s="88">
        <f t="shared" si="18"/>
        <v>1</v>
      </c>
    </row>
    <row r="78" spans="8:19" x14ac:dyDescent="0.3">
      <c r="H78" s="1">
        <f t="shared" si="22"/>
        <v>94</v>
      </c>
      <c r="I78" s="1">
        <f>I74+0.8*(I79-I74)</f>
        <v>0.11352799999999999</v>
      </c>
      <c r="J78" s="1">
        <f t="shared" si="19"/>
        <v>0.98822399999999988</v>
      </c>
      <c r="K78" s="1">
        <f t="shared" si="19"/>
        <v>1</v>
      </c>
      <c r="L78" s="1">
        <f t="shared" si="19"/>
        <v>1</v>
      </c>
      <c r="M78" s="1">
        <f t="shared" si="20"/>
        <v>0.9815941119999998</v>
      </c>
      <c r="N78" s="1">
        <f t="shared" si="14"/>
        <v>1</v>
      </c>
      <c r="O78" s="1">
        <f t="shared" si="15"/>
        <v>1</v>
      </c>
      <c r="P78" s="1">
        <f t="shared" si="16"/>
        <v>94</v>
      </c>
      <c r="Q78" s="88">
        <f t="shared" si="21"/>
        <v>0.9815941119999998</v>
      </c>
      <c r="R78" s="88">
        <f t="shared" si="17"/>
        <v>1</v>
      </c>
      <c r="S78" s="88">
        <f t="shared" si="18"/>
        <v>1</v>
      </c>
    </row>
    <row r="79" spans="8:19" x14ac:dyDescent="0.3">
      <c r="H79" s="1">
        <f t="shared" si="22"/>
        <v>95</v>
      </c>
      <c r="I79" s="1">
        <v>0.11040999999999999</v>
      </c>
      <c r="J79" s="1">
        <f t="shared" si="19"/>
        <v>0.96327999999999991</v>
      </c>
      <c r="K79" s="1">
        <f t="shared" si="19"/>
        <v>1</v>
      </c>
      <c r="L79" s="1">
        <f t="shared" si="19"/>
        <v>1</v>
      </c>
      <c r="M79" s="1">
        <f t="shared" si="20"/>
        <v>0.94260663999999994</v>
      </c>
      <c r="N79" s="1">
        <f t="shared" si="14"/>
        <v>1</v>
      </c>
      <c r="O79" s="1">
        <f t="shared" si="15"/>
        <v>1</v>
      </c>
      <c r="P79" s="1">
        <f t="shared" si="16"/>
        <v>95</v>
      </c>
      <c r="Q79" s="88">
        <f t="shared" si="21"/>
        <v>0.94260663999999994</v>
      </c>
      <c r="R79" s="88">
        <f t="shared" si="17"/>
        <v>1</v>
      </c>
      <c r="S79" s="88">
        <f t="shared" si="18"/>
        <v>1</v>
      </c>
    </row>
    <row r="80" spans="8:19" x14ac:dyDescent="0.3">
      <c r="H80" s="1">
        <f t="shared" si="22"/>
        <v>96</v>
      </c>
      <c r="I80" s="1">
        <f>I79+0.2*(I84-I79)</f>
        <v>0.1077412</v>
      </c>
      <c r="J80" s="1">
        <f t="shared" si="19"/>
        <v>0.94192960000000003</v>
      </c>
      <c r="K80" s="1">
        <f t="shared" si="19"/>
        <v>1</v>
      </c>
      <c r="L80" s="1">
        <f t="shared" si="19"/>
        <v>1</v>
      </c>
      <c r="M80" s="1">
        <f t="shared" si="20"/>
        <v>0.90923596480000013</v>
      </c>
      <c r="N80" s="1">
        <f t="shared" si="14"/>
        <v>1</v>
      </c>
      <c r="O80" s="1">
        <f t="shared" si="15"/>
        <v>1</v>
      </c>
      <c r="P80" s="1">
        <f t="shared" si="16"/>
        <v>96</v>
      </c>
      <c r="Q80" s="88">
        <f t="shared" si="21"/>
        <v>0.90923596480000013</v>
      </c>
      <c r="R80" s="88">
        <f t="shared" si="17"/>
        <v>1</v>
      </c>
      <c r="S80" s="88">
        <f t="shared" si="18"/>
        <v>1</v>
      </c>
    </row>
    <row r="81" spans="8:19" x14ac:dyDescent="0.3">
      <c r="H81" s="1">
        <f t="shared" si="22"/>
        <v>97</v>
      </c>
      <c r="I81" s="1">
        <f>I79+0.4*(I84-I79)</f>
        <v>0.1050724</v>
      </c>
      <c r="J81" s="1">
        <f t="shared" si="19"/>
        <v>0.92057919999999993</v>
      </c>
      <c r="K81" s="1">
        <f t="shared" si="19"/>
        <v>0.97811540000000008</v>
      </c>
      <c r="L81" s="1">
        <f t="shared" si="19"/>
        <v>1</v>
      </c>
      <c r="M81" s="1">
        <f t="shared" si="20"/>
        <v>0.87586528959999987</v>
      </c>
      <c r="N81" s="1">
        <f t="shared" si="14"/>
        <v>0.96579437020000003</v>
      </c>
      <c r="O81" s="1">
        <f t="shared" si="15"/>
        <v>1</v>
      </c>
      <c r="P81" s="1">
        <f t="shared" si="16"/>
        <v>97</v>
      </c>
      <c r="Q81" s="88">
        <f t="shared" si="21"/>
        <v>0.87586528959999987</v>
      </c>
      <c r="R81" s="88">
        <f t="shared" si="17"/>
        <v>0.96579437020000003</v>
      </c>
      <c r="S81" s="88">
        <f t="shared" si="18"/>
        <v>1</v>
      </c>
    </row>
    <row r="82" spans="8:19" x14ac:dyDescent="0.3">
      <c r="H82" s="1">
        <f t="shared" si="22"/>
        <v>98</v>
      </c>
      <c r="I82" s="1">
        <f>I79+0.6*(I84-I79)</f>
        <v>0.1024036</v>
      </c>
      <c r="J82" s="1">
        <f t="shared" si="19"/>
        <v>0.89922879999999994</v>
      </c>
      <c r="K82" s="1">
        <f t="shared" si="19"/>
        <v>0.95543060000000002</v>
      </c>
      <c r="L82" s="1">
        <f t="shared" si="19"/>
        <v>1</v>
      </c>
      <c r="M82" s="1">
        <f t="shared" si="20"/>
        <v>0.84249461439999984</v>
      </c>
      <c r="N82" s="1">
        <f t="shared" si="14"/>
        <v>0.93033802779999997</v>
      </c>
      <c r="O82" s="1">
        <f t="shared" si="15"/>
        <v>1</v>
      </c>
      <c r="P82" s="1">
        <f t="shared" si="16"/>
        <v>98</v>
      </c>
      <c r="Q82" s="88">
        <f t="shared" si="21"/>
        <v>0.84249461439999984</v>
      </c>
      <c r="R82" s="88">
        <f t="shared" si="17"/>
        <v>0.93033802779999997</v>
      </c>
      <c r="S82" s="88">
        <f t="shared" si="18"/>
        <v>1</v>
      </c>
    </row>
    <row r="83" spans="8:19" x14ac:dyDescent="0.3">
      <c r="H83" s="1">
        <f t="shared" si="22"/>
        <v>99</v>
      </c>
      <c r="I83" s="1">
        <f>I79+0.8*(I84-I79)</f>
        <v>9.9734799999999998E-2</v>
      </c>
      <c r="J83" s="1">
        <f t="shared" si="19"/>
        <v>0.87787840000000006</v>
      </c>
      <c r="K83" s="1">
        <f t="shared" si="19"/>
        <v>0.93274580000000007</v>
      </c>
      <c r="L83" s="1">
        <f t="shared" si="19"/>
        <v>0.98761319999999997</v>
      </c>
      <c r="M83" s="1">
        <f t="shared" si="20"/>
        <v>0.80912393920000003</v>
      </c>
      <c r="N83" s="1">
        <f t="shared" si="14"/>
        <v>0.89488168540000013</v>
      </c>
      <c r="O83" s="1">
        <f t="shared" si="15"/>
        <v>0.9806394316</v>
      </c>
      <c r="P83" s="1">
        <f t="shared" si="16"/>
        <v>99</v>
      </c>
      <c r="Q83" s="88">
        <f t="shared" si="21"/>
        <v>0.80912393920000003</v>
      </c>
      <c r="R83" s="88">
        <f t="shared" si="17"/>
        <v>0.89488168540000013</v>
      </c>
      <c r="S83" s="88">
        <f t="shared" si="18"/>
        <v>0.9806394316</v>
      </c>
    </row>
    <row r="84" spans="8:19" x14ac:dyDescent="0.3">
      <c r="H84" s="1">
        <f t="shared" si="22"/>
        <v>100</v>
      </c>
      <c r="I84" s="1">
        <v>9.7066E-2</v>
      </c>
      <c r="J84" s="1">
        <f t="shared" si="19"/>
        <v>0.85652799999999996</v>
      </c>
      <c r="K84" s="1">
        <f t="shared" si="19"/>
        <v>0.91006100000000001</v>
      </c>
      <c r="L84" s="1">
        <f t="shared" si="19"/>
        <v>0.96359399999999995</v>
      </c>
      <c r="M84" s="1">
        <f t="shared" si="20"/>
        <v>0.775753264</v>
      </c>
      <c r="N84" s="1">
        <f t="shared" si="14"/>
        <v>0.85942534300000006</v>
      </c>
      <c r="O84" s="1">
        <f t="shared" si="15"/>
        <v>0.94309742199999991</v>
      </c>
      <c r="P84" s="1">
        <f t="shared" si="16"/>
        <v>100</v>
      </c>
      <c r="Q84" s="88">
        <f t="shared" si="21"/>
        <v>0.775753264</v>
      </c>
      <c r="R84" s="88">
        <f t="shared" si="17"/>
        <v>0.85942534300000006</v>
      </c>
      <c r="S84" s="88">
        <f t="shared" si="18"/>
        <v>0.94309742199999991</v>
      </c>
    </row>
    <row r="85" spans="8:19" x14ac:dyDescent="0.3">
      <c r="H85" s="1">
        <f t="shared" si="22"/>
        <v>101</v>
      </c>
      <c r="I85" s="1">
        <f>I84+0.2*(I89-I84)</f>
        <v>9.4772200000000001E-2</v>
      </c>
      <c r="J85" s="1">
        <f t="shared" si="19"/>
        <v>0.83817760000000008</v>
      </c>
      <c r="K85" s="1">
        <f t="shared" si="19"/>
        <v>0.89056370000000018</v>
      </c>
      <c r="L85" s="1">
        <f t="shared" si="19"/>
        <v>0.94294980000000006</v>
      </c>
      <c r="M85" s="1">
        <f t="shared" si="20"/>
        <v>0.74707158880000013</v>
      </c>
      <c r="N85" s="1">
        <f t="shared" si="14"/>
        <v>0.82895106310000033</v>
      </c>
      <c r="O85" s="1">
        <f t="shared" si="15"/>
        <v>0.91083053740000008</v>
      </c>
      <c r="P85" s="1">
        <f t="shared" si="16"/>
        <v>101</v>
      </c>
      <c r="Q85" s="88">
        <f t="shared" si="21"/>
        <v>0.74707158880000013</v>
      </c>
      <c r="R85" s="88">
        <f t="shared" si="17"/>
        <v>0.82895106310000033</v>
      </c>
      <c r="S85" s="88">
        <f t="shared" si="18"/>
        <v>0.91083053740000008</v>
      </c>
    </row>
    <row r="86" spans="8:19" x14ac:dyDescent="0.3">
      <c r="H86" s="1">
        <f t="shared" si="22"/>
        <v>102</v>
      </c>
      <c r="I86" s="1">
        <f>I84+0.4*(I89-I84)</f>
        <v>9.2478400000000002E-2</v>
      </c>
      <c r="J86" s="1">
        <f t="shared" si="19"/>
        <v>0.81982719999999998</v>
      </c>
      <c r="K86" s="1">
        <f t="shared" si="19"/>
        <v>0.87106640000000002</v>
      </c>
      <c r="L86" s="1">
        <f t="shared" si="19"/>
        <v>0.92230559999999995</v>
      </c>
      <c r="M86" s="1">
        <f t="shared" si="20"/>
        <v>0.71838991360000004</v>
      </c>
      <c r="N86" s="1">
        <f t="shared" si="14"/>
        <v>0.79847678319999993</v>
      </c>
      <c r="O86" s="1">
        <f t="shared" si="15"/>
        <v>0.87856365279999982</v>
      </c>
      <c r="P86" s="1">
        <f t="shared" si="16"/>
        <v>102</v>
      </c>
      <c r="Q86" s="88">
        <f t="shared" si="21"/>
        <v>0.71838991360000004</v>
      </c>
      <c r="R86" s="88">
        <f t="shared" si="17"/>
        <v>0.79847678319999993</v>
      </c>
      <c r="S86" s="88">
        <f t="shared" si="18"/>
        <v>0.87856365279999982</v>
      </c>
    </row>
    <row r="87" spans="8:19" x14ac:dyDescent="0.3">
      <c r="H87" s="1">
        <f t="shared" si="22"/>
        <v>103</v>
      </c>
      <c r="I87" s="1">
        <f>I84+0.6*(I89-I84)</f>
        <v>9.0184600000000004E-2</v>
      </c>
      <c r="J87" s="1">
        <f t="shared" si="19"/>
        <v>0.8014768000000001</v>
      </c>
      <c r="K87" s="1">
        <f t="shared" si="19"/>
        <v>0.85156910000000019</v>
      </c>
      <c r="L87" s="1">
        <f t="shared" si="19"/>
        <v>0.90166140000000006</v>
      </c>
      <c r="M87" s="1">
        <f t="shared" si="20"/>
        <v>0.68970823840000017</v>
      </c>
      <c r="N87" s="1">
        <f t="shared" si="14"/>
        <v>0.76800250330000019</v>
      </c>
      <c r="O87" s="1">
        <f t="shared" si="15"/>
        <v>0.84629676819999999</v>
      </c>
      <c r="P87" s="1">
        <f t="shared" si="16"/>
        <v>103</v>
      </c>
      <c r="Q87" s="88">
        <f t="shared" si="21"/>
        <v>0.68970823840000017</v>
      </c>
      <c r="R87" s="88">
        <f t="shared" si="17"/>
        <v>0.76800250330000019</v>
      </c>
      <c r="S87" s="88">
        <f t="shared" si="18"/>
        <v>0.84629676819999999</v>
      </c>
    </row>
    <row r="88" spans="8:19" x14ac:dyDescent="0.3">
      <c r="H88" s="1">
        <f t="shared" si="22"/>
        <v>104</v>
      </c>
      <c r="I88" s="1">
        <f>I84+0.8*(I89-I84)</f>
        <v>8.7890800000000005E-2</v>
      </c>
      <c r="J88" s="1">
        <f t="shared" si="19"/>
        <v>0.7831264</v>
      </c>
      <c r="K88" s="1">
        <f t="shared" si="19"/>
        <v>0.83207180000000003</v>
      </c>
      <c r="L88" s="1">
        <f t="shared" si="19"/>
        <v>0.88101719999999994</v>
      </c>
      <c r="M88" s="1">
        <f t="shared" si="20"/>
        <v>0.66102656320000008</v>
      </c>
      <c r="N88" s="1">
        <f t="shared" si="14"/>
        <v>0.73752822340000002</v>
      </c>
      <c r="O88" s="1">
        <f t="shared" si="15"/>
        <v>0.81402988359999995</v>
      </c>
      <c r="P88" s="1">
        <f t="shared" si="16"/>
        <v>104</v>
      </c>
      <c r="Q88" s="88">
        <f t="shared" si="21"/>
        <v>0.66102656320000008</v>
      </c>
      <c r="R88" s="88">
        <f t="shared" si="17"/>
        <v>0.73752822340000002</v>
      </c>
      <c r="S88" s="88">
        <f t="shared" si="18"/>
        <v>0.81402988359999995</v>
      </c>
    </row>
    <row r="89" spans="8:19" x14ac:dyDescent="0.3">
      <c r="H89" s="1">
        <f t="shared" si="22"/>
        <v>105</v>
      </c>
      <c r="I89" s="1">
        <v>8.5597000000000006E-2</v>
      </c>
      <c r="J89" s="1">
        <f t="shared" si="19"/>
        <v>0.76477600000000012</v>
      </c>
      <c r="K89" s="1">
        <f t="shared" si="19"/>
        <v>0.8125745000000002</v>
      </c>
      <c r="L89" s="1">
        <f t="shared" si="19"/>
        <v>0.86037300000000005</v>
      </c>
      <c r="M89" s="1">
        <f t="shared" si="20"/>
        <v>0.63234488800000022</v>
      </c>
      <c r="N89" s="1">
        <f t="shared" ref="N89:N134" si="23">IF(K89&gt;0.68,1.563*K89-0.563,0.5)</f>
        <v>0.70705394350000028</v>
      </c>
      <c r="O89" s="1">
        <f t="shared" ref="O89:O134" si="24">IF(L89&gt;0.68,1.563*L89-0.563,0.5)</f>
        <v>0.78176299900000012</v>
      </c>
      <c r="P89" s="1">
        <f t="shared" si="16"/>
        <v>105</v>
      </c>
      <c r="Q89" s="88">
        <f t="shared" si="21"/>
        <v>0.63234488800000022</v>
      </c>
      <c r="R89" s="88">
        <f t="shared" si="17"/>
        <v>0.70705394350000028</v>
      </c>
      <c r="S89" s="88">
        <f t="shared" si="18"/>
        <v>0.78176299900000012</v>
      </c>
    </row>
    <row r="90" spans="8:19" x14ac:dyDescent="0.3">
      <c r="H90" s="1">
        <f t="shared" si="22"/>
        <v>106</v>
      </c>
      <c r="I90" s="1">
        <f>I89+0.2*(I94-I89)</f>
        <v>8.3631780000000003E-2</v>
      </c>
      <c r="J90" s="1">
        <f t="shared" si="19"/>
        <v>0.74905423999999998</v>
      </c>
      <c r="K90" s="1">
        <f t="shared" si="19"/>
        <v>0.79587013000000006</v>
      </c>
      <c r="L90" s="1">
        <f t="shared" si="19"/>
        <v>0.84268601999999992</v>
      </c>
      <c r="M90" s="1">
        <f t="shared" si="20"/>
        <v>0.60777177711999997</v>
      </c>
      <c r="N90" s="1">
        <f t="shared" si="23"/>
        <v>0.68094501319000011</v>
      </c>
      <c r="O90" s="1">
        <f t="shared" si="24"/>
        <v>0.75411824925999982</v>
      </c>
      <c r="P90" s="1">
        <f t="shared" si="16"/>
        <v>106</v>
      </c>
      <c r="Q90" s="88">
        <f t="shared" si="21"/>
        <v>0.60777177711999997</v>
      </c>
      <c r="R90" s="88">
        <f t="shared" si="17"/>
        <v>0.68094501319000011</v>
      </c>
      <c r="S90" s="88">
        <f t="shared" si="18"/>
        <v>0.75411824925999982</v>
      </c>
    </row>
    <row r="91" spans="8:19" x14ac:dyDescent="0.3">
      <c r="H91" s="1">
        <f t="shared" si="22"/>
        <v>107</v>
      </c>
      <c r="I91" s="1">
        <f>I89+0.4*(I94-I89)</f>
        <v>8.1666559999999999E-2</v>
      </c>
      <c r="J91" s="1">
        <f t="shared" si="19"/>
        <v>0.73333247999999995</v>
      </c>
      <c r="K91" s="1">
        <f t="shared" si="19"/>
        <v>0.77916576000000004</v>
      </c>
      <c r="L91" s="1">
        <f t="shared" si="19"/>
        <v>0.82499903999999991</v>
      </c>
      <c r="M91" s="1">
        <f t="shared" si="20"/>
        <v>0.58319866623999994</v>
      </c>
      <c r="N91" s="1">
        <f t="shared" si="23"/>
        <v>0.65483608288000017</v>
      </c>
      <c r="O91" s="1">
        <f t="shared" si="24"/>
        <v>0.72647349951999995</v>
      </c>
      <c r="P91" s="1">
        <f t="shared" si="16"/>
        <v>107</v>
      </c>
      <c r="Q91" s="88">
        <f t="shared" si="21"/>
        <v>0.58319866623999994</v>
      </c>
      <c r="R91" s="88">
        <f t="shared" si="17"/>
        <v>0.65483608288000017</v>
      </c>
      <c r="S91" s="88">
        <f t="shared" si="18"/>
        <v>0.72647349951999995</v>
      </c>
    </row>
    <row r="92" spans="8:19" x14ac:dyDescent="0.3">
      <c r="H92" s="1">
        <f t="shared" si="22"/>
        <v>108</v>
      </c>
      <c r="I92" s="1">
        <f>I89+0.6*(I94-I89)</f>
        <v>7.9701340000000009E-2</v>
      </c>
      <c r="J92" s="1">
        <f t="shared" si="19"/>
        <v>0.71761072000000015</v>
      </c>
      <c r="K92" s="1">
        <f t="shared" si="19"/>
        <v>0.76246139000000024</v>
      </c>
      <c r="L92" s="1">
        <f t="shared" si="19"/>
        <v>0.80731206000000011</v>
      </c>
      <c r="M92" s="1">
        <f t="shared" si="20"/>
        <v>0.55862555536000014</v>
      </c>
      <c r="N92" s="1">
        <f t="shared" si="23"/>
        <v>0.62872715257000045</v>
      </c>
      <c r="O92" s="1">
        <f t="shared" si="24"/>
        <v>0.69882874978000009</v>
      </c>
      <c r="P92" s="1">
        <f t="shared" si="16"/>
        <v>108</v>
      </c>
      <c r="Q92" s="88">
        <f t="shared" si="21"/>
        <v>0.55862555536000014</v>
      </c>
      <c r="R92" s="88">
        <f t="shared" si="17"/>
        <v>0.62872715257000045</v>
      </c>
      <c r="S92" s="88">
        <f t="shared" si="18"/>
        <v>0.69882874978000009</v>
      </c>
    </row>
    <row r="93" spans="8:19" x14ac:dyDescent="0.3">
      <c r="H93" s="1">
        <f t="shared" si="22"/>
        <v>109</v>
      </c>
      <c r="I93" s="1">
        <f>I89+0.8*(I94-I89)</f>
        <v>7.7736120000000006E-2</v>
      </c>
      <c r="J93" s="1">
        <f t="shared" si="19"/>
        <v>0.70188896000000001</v>
      </c>
      <c r="K93" s="1">
        <f t="shared" si="19"/>
        <v>0.7457570200000001</v>
      </c>
      <c r="L93" s="1">
        <f t="shared" si="19"/>
        <v>0.78962507999999998</v>
      </c>
      <c r="M93" s="1">
        <f t="shared" si="20"/>
        <v>0.53405244448000011</v>
      </c>
      <c r="N93" s="1">
        <f t="shared" si="23"/>
        <v>0.60261822226000028</v>
      </c>
      <c r="O93" s="1">
        <f t="shared" si="24"/>
        <v>0.67118400004000001</v>
      </c>
      <c r="P93" s="1">
        <f t="shared" si="16"/>
        <v>109</v>
      </c>
      <c r="Q93" s="88">
        <f t="shared" si="21"/>
        <v>0.53405244448000011</v>
      </c>
      <c r="R93" s="88">
        <f t="shared" si="17"/>
        <v>0.60261822226000028</v>
      </c>
      <c r="S93" s="88">
        <f t="shared" si="18"/>
        <v>0.67118400004000001</v>
      </c>
    </row>
    <row r="94" spans="8:19" x14ac:dyDescent="0.3">
      <c r="H94" s="1">
        <f t="shared" si="22"/>
        <v>110</v>
      </c>
      <c r="I94" s="1">
        <v>7.5770900000000002E-2</v>
      </c>
      <c r="J94" s="1">
        <f t="shared" si="19"/>
        <v>0.68616719999999998</v>
      </c>
      <c r="K94" s="1">
        <f t="shared" si="19"/>
        <v>0.72905265000000008</v>
      </c>
      <c r="L94" s="1">
        <f t="shared" si="19"/>
        <v>0.77193809999999996</v>
      </c>
      <c r="M94" s="1">
        <f t="shared" si="20"/>
        <v>0.50947933360000008</v>
      </c>
      <c r="N94" s="1">
        <f t="shared" si="23"/>
        <v>0.57650929195000011</v>
      </c>
      <c r="O94" s="1">
        <f t="shared" si="24"/>
        <v>0.64353925029999992</v>
      </c>
      <c r="P94" s="1">
        <f t="shared" si="16"/>
        <v>110</v>
      </c>
      <c r="Q94" s="88">
        <f t="shared" si="21"/>
        <v>0.50947933360000008</v>
      </c>
      <c r="R94" s="88">
        <f t="shared" si="17"/>
        <v>0.57650929195000011</v>
      </c>
      <c r="S94" s="88">
        <f t="shared" si="18"/>
        <v>0.64353925029999992</v>
      </c>
    </row>
    <row r="95" spans="8:19" x14ac:dyDescent="0.3">
      <c r="H95" s="1">
        <f t="shared" si="22"/>
        <v>111</v>
      </c>
      <c r="I95" s="1">
        <f>I94+0.2*(I99-I94)</f>
        <v>7.4048320000000001E-2</v>
      </c>
      <c r="J95" s="1">
        <f t="shared" si="19"/>
        <v>0.67238655999999997</v>
      </c>
      <c r="K95" s="1">
        <f t="shared" si="19"/>
        <v>0.71441071999999994</v>
      </c>
      <c r="L95" s="1">
        <f t="shared" si="19"/>
        <v>0.75643487999999992</v>
      </c>
      <c r="M95" s="1">
        <f t="shared" si="20"/>
        <v>0.5</v>
      </c>
      <c r="N95" s="1">
        <f t="shared" si="23"/>
        <v>0.55362395535999998</v>
      </c>
      <c r="O95" s="1">
        <f t="shared" si="24"/>
        <v>0.61930771743999991</v>
      </c>
      <c r="P95" s="1">
        <f t="shared" si="16"/>
        <v>111</v>
      </c>
      <c r="Q95" s="88">
        <f t="shared" si="21"/>
        <v>0.5</v>
      </c>
      <c r="R95" s="88">
        <f t="shared" si="17"/>
        <v>0.55362395535999998</v>
      </c>
      <c r="S95" s="88">
        <f t="shared" si="18"/>
        <v>0.61930771743999991</v>
      </c>
    </row>
    <row r="96" spans="8:19" x14ac:dyDescent="0.3">
      <c r="H96" s="1">
        <f t="shared" si="22"/>
        <v>112</v>
      </c>
      <c r="I96" s="1">
        <f>I94+0.4*(I99-I94)</f>
        <v>7.2325739999999999E-2</v>
      </c>
      <c r="J96" s="1">
        <f t="shared" si="19"/>
        <v>0.65860591999999996</v>
      </c>
      <c r="K96" s="1">
        <f t="shared" si="19"/>
        <v>0.69976879000000003</v>
      </c>
      <c r="L96" s="1">
        <f t="shared" si="19"/>
        <v>0.74093165999999999</v>
      </c>
      <c r="M96" s="1">
        <f t="shared" si="20"/>
        <v>0.5</v>
      </c>
      <c r="N96" s="1">
        <f t="shared" si="23"/>
        <v>0.53073861877000006</v>
      </c>
      <c r="O96" s="1">
        <f t="shared" si="24"/>
        <v>0.59507618458000011</v>
      </c>
      <c r="P96" s="1">
        <f t="shared" si="16"/>
        <v>112</v>
      </c>
      <c r="Q96" s="88">
        <f t="shared" si="21"/>
        <v>0.5</v>
      </c>
      <c r="R96" s="88">
        <f t="shared" si="17"/>
        <v>0.53073861877000006</v>
      </c>
      <c r="S96" s="88">
        <f t="shared" si="18"/>
        <v>0.59507618458000011</v>
      </c>
    </row>
    <row r="97" spans="8:19" x14ac:dyDescent="0.3">
      <c r="H97" s="1">
        <f t="shared" si="22"/>
        <v>113</v>
      </c>
      <c r="I97" s="1">
        <f>I94+0.6*(I99-I94)</f>
        <v>7.0603159999999998E-2</v>
      </c>
      <c r="J97" s="1">
        <f t="shared" si="19"/>
        <v>0.64482528000000006</v>
      </c>
      <c r="K97" s="1">
        <f t="shared" si="19"/>
        <v>0.68512686000000012</v>
      </c>
      <c r="L97" s="1">
        <f t="shared" si="19"/>
        <v>0.72542843999999995</v>
      </c>
      <c r="M97" s="1">
        <f t="shared" si="20"/>
        <v>0.5</v>
      </c>
      <c r="N97" s="1">
        <f t="shared" si="23"/>
        <v>0.50785328218000014</v>
      </c>
      <c r="O97" s="1">
        <f t="shared" si="24"/>
        <v>0.57084465171999987</v>
      </c>
      <c r="P97" s="1">
        <f t="shared" si="16"/>
        <v>113</v>
      </c>
      <c r="Q97" s="88">
        <f t="shared" si="21"/>
        <v>0.5</v>
      </c>
      <c r="R97" s="88">
        <f t="shared" si="17"/>
        <v>0.50785328218000014</v>
      </c>
      <c r="S97" s="88">
        <f t="shared" si="18"/>
        <v>0.57084465171999987</v>
      </c>
    </row>
    <row r="98" spans="8:19" x14ac:dyDescent="0.3">
      <c r="H98" s="1">
        <f t="shared" si="22"/>
        <v>114</v>
      </c>
      <c r="I98" s="1">
        <f>I94+0.8*(I99-I94)</f>
        <v>6.8880579999999997E-2</v>
      </c>
      <c r="J98" s="1">
        <f t="shared" si="19"/>
        <v>0.63104464000000005</v>
      </c>
      <c r="K98" s="1">
        <f t="shared" si="19"/>
        <v>0.67048493000000009</v>
      </c>
      <c r="L98" s="1">
        <f t="shared" si="19"/>
        <v>0.70992522000000002</v>
      </c>
      <c r="M98" s="1">
        <f t="shared" si="20"/>
        <v>0.5</v>
      </c>
      <c r="N98" s="1">
        <f t="shared" si="23"/>
        <v>0.5</v>
      </c>
      <c r="O98" s="1">
        <f t="shared" si="24"/>
        <v>0.54661311886000008</v>
      </c>
      <c r="P98" s="1">
        <f t="shared" si="16"/>
        <v>114</v>
      </c>
      <c r="Q98" s="88">
        <f t="shared" si="21"/>
        <v>0.5</v>
      </c>
      <c r="R98" s="88">
        <f t="shared" si="17"/>
        <v>0.5</v>
      </c>
      <c r="S98" s="88">
        <f t="shared" si="18"/>
        <v>0.54661311886000008</v>
      </c>
    </row>
    <row r="99" spans="8:19" x14ac:dyDescent="0.3">
      <c r="H99" s="1">
        <f t="shared" si="22"/>
        <v>115</v>
      </c>
      <c r="I99" s="1">
        <v>6.7157999999999995E-2</v>
      </c>
      <c r="J99" s="1">
        <f t="shared" si="19"/>
        <v>0.61726400000000003</v>
      </c>
      <c r="K99" s="1">
        <f t="shared" si="19"/>
        <v>0.65584300000000006</v>
      </c>
      <c r="L99" s="1">
        <f t="shared" si="19"/>
        <v>0.69442199999999998</v>
      </c>
      <c r="M99" s="1">
        <f t="shared" si="20"/>
        <v>0.5</v>
      </c>
      <c r="N99" s="1">
        <f t="shared" si="23"/>
        <v>0.5</v>
      </c>
      <c r="O99" s="1">
        <f t="shared" si="24"/>
        <v>0.52238158600000006</v>
      </c>
      <c r="P99" s="1">
        <f t="shared" si="16"/>
        <v>115</v>
      </c>
      <c r="Q99" s="88">
        <f t="shared" si="21"/>
        <v>0.5</v>
      </c>
      <c r="R99" s="88">
        <f t="shared" si="17"/>
        <v>0.5</v>
      </c>
      <c r="S99" s="88">
        <f t="shared" si="18"/>
        <v>0.52238158600000006</v>
      </c>
    </row>
    <row r="100" spans="8:19" x14ac:dyDescent="0.3">
      <c r="H100" s="1">
        <f t="shared" si="22"/>
        <v>116</v>
      </c>
      <c r="I100" s="1">
        <f>I99+0.2*(I104-I99)</f>
        <v>6.5674399999999994E-2</v>
      </c>
      <c r="J100" s="1">
        <f t="shared" si="19"/>
        <v>0.60539520000000002</v>
      </c>
      <c r="K100" s="1">
        <f t="shared" si="19"/>
        <v>0.64323240000000004</v>
      </c>
      <c r="L100" s="1">
        <f t="shared" si="19"/>
        <v>0.68106959999999994</v>
      </c>
      <c r="M100" s="1">
        <f t="shared" si="20"/>
        <v>0.5</v>
      </c>
      <c r="N100" s="1">
        <f t="shared" si="23"/>
        <v>0.5</v>
      </c>
      <c r="O100" s="1">
        <f t="shared" si="24"/>
        <v>0.50151178479999992</v>
      </c>
      <c r="P100" s="1">
        <f t="shared" si="16"/>
        <v>116</v>
      </c>
      <c r="Q100" s="88">
        <f t="shared" si="21"/>
        <v>0.5</v>
      </c>
      <c r="R100" s="88">
        <f t="shared" si="17"/>
        <v>0.5</v>
      </c>
      <c r="S100" s="88">
        <f t="shared" si="18"/>
        <v>0.50151178479999992</v>
      </c>
    </row>
    <row r="101" spans="8:19" x14ac:dyDescent="0.3">
      <c r="H101" s="1">
        <f t="shared" si="22"/>
        <v>117</v>
      </c>
      <c r="I101" s="1">
        <f>I99+0.4*(I104-I99)</f>
        <v>6.4190799999999992E-2</v>
      </c>
      <c r="J101" s="1">
        <f t="shared" si="19"/>
        <v>0.5935263999999999</v>
      </c>
      <c r="K101" s="1">
        <f t="shared" si="19"/>
        <v>0.63062180000000001</v>
      </c>
      <c r="L101" s="1">
        <f t="shared" si="19"/>
        <v>0.6677171999999999</v>
      </c>
      <c r="M101" s="1">
        <f t="shared" si="20"/>
        <v>0.5</v>
      </c>
      <c r="N101" s="1">
        <f t="shared" si="23"/>
        <v>0.5</v>
      </c>
      <c r="O101" s="1">
        <f t="shared" si="24"/>
        <v>0.5</v>
      </c>
      <c r="P101" s="1">
        <f t="shared" si="16"/>
        <v>117</v>
      </c>
      <c r="Q101" s="88">
        <f t="shared" si="21"/>
        <v>0.5</v>
      </c>
      <c r="R101" s="88">
        <f t="shared" si="17"/>
        <v>0.5</v>
      </c>
      <c r="S101" s="88">
        <f t="shared" si="18"/>
        <v>0.5</v>
      </c>
    </row>
    <row r="102" spans="8:19" x14ac:dyDescent="0.3">
      <c r="H102" s="1">
        <f t="shared" si="22"/>
        <v>118</v>
      </c>
      <c r="I102" s="1">
        <f>I99+0.6*(I104-I99)</f>
        <v>6.2707200000000005E-2</v>
      </c>
      <c r="J102" s="1">
        <f t="shared" si="19"/>
        <v>0.58165760000000011</v>
      </c>
      <c r="K102" s="1">
        <f t="shared" si="19"/>
        <v>0.61801120000000009</v>
      </c>
      <c r="L102" s="1">
        <f t="shared" si="19"/>
        <v>0.65436480000000008</v>
      </c>
      <c r="M102" s="1">
        <f t="shared" si="20"/>
        <v>0.5</v>
      </c>
      <c r="N102" s="1">
        <f t="shared" si="23"/>
        <v>0.5</v>
      </c>
      <c r="O102" s="1">
        <f t="shared" si="24"/>
        <v>0.5</v>
      </c>
      <c r="P102" s="1">
        <f t="shared" si="16"/>
        <v>118</v>
      </c>
      <c r="Q102" s="88">
        <f t="shared" si="21"/>
        <v>0.5</v>
      </c>
      <c r="R102" s="88">
        <f t="shared" si="17"/>
        <v>0.5</v>
      </c>
      <c r="S102" s="88">
        <f t="shared" si="18"/>
        <v>0.5</v>
      </c>
    </row>
    <row r="103" spans="8:19" x14ac:dyDescent="0.3">
      <c r="H103" s="1">
        <f t="shared" si="22"/>
        <v>119</v>
      </c>
      <c r="I103" s="1">
        <f>I99+0.8*(I104-I99)</f>
        <v>6.1223600000000003E-2</v>
      </c>
      <c r="J103" s="1">
        <f t="shared" si="19"/>
        <v>0.5697888000000001</v>
      </c>
      <c r="K103" s="1">
        <f t="shared" si="19"/>
        <v>0.60540060000000007</v>
      </c>
      <c r="L103" s="1">
        <f t="shared" si="19"/>
        <v>0.64101240000000004</v>
      </c>
      <c r="M103" s="1">
        <f t="shared" si="20"/>
        <v>0.5</v>
      </c>
      <c r="N103" s="1">
        <f t="shared" si="23"/>
        <v>0.5</v>
      </c>
      <c r="O103" s="1">
        <f t="shared" si="24"/>
        <v>0.5</v>
      </c>
      <c r="P103" s="1">
        <f t="shared" si="16"/>
        <v>119</v>
      </c>
      <c r="Q103" s="88">
        <f t="shared" si="21"/>
        <v>0.5</v>
      </c>
      <c r="R103" s="88">
        <f t="shared" si="17"/>
        <v>0.5</v>
      </c>
      <c r="S103" s="88">
        <f t="shared" si="18"/>
        <v>0.5</v>
      </c>
    </row>
    <row r="104" spans="8:19" x14ac:dyDescent="0.3">
      <c r="H104" s="1">
        <f t="shared" si="22"/>
        <v>120</v>
      </c>
      <c r="I104" s="1">
        <v>5.9740000000000001E-2</v>
      </c>
      <c r="J104" s="1">
        <f t="shared" si="19"/>
        <v>0.55792000000000008</v>
      </c>
      <c r="K104" s="1">
        <f t="shared" si="19"/>
        <v>0.59279000000000004</v>
      </c>
      <c r="L104" s="1">
        <f t="shared" si="19"/>
        <v>0.62766</v>
      </c>
      <c r="M104" s="1">
        <f t="shared" si="20"/>
        <v>0.5</v>
      </c>
      <c r="N104" s="1">
        <f t="shared" si="23"/>
        <v>0.5</v>
      </c>
      <c r="O104" s="1">
        <f t="shared" si="24"/>
        <v>0.5</v>
      </c>
      <c r="P104" s="1">
        <f t="shared" si="16"/>
        <v>120</v>
      </c>
      <c r="Q104" s="88">
        <f t="shared" si="21"/>
        <v>0.5</v>
      </c>
      <c r="R104" s="88">
        <f t="shared" si="17"/>
        <v>0.5</v>
      </c>
      <c r="S104" s="88">
        <f t="shared" si="18"/>
        <v>0.5</v>
      </c>
    </row>
    <row r="105" spans="8:19" x14ac:dyDescent="0.3">
      <c r="H105" s="1">
        <f t="shared" si="22"/>
        <v>121</v>
      </c>
      <c r="I105" s="1">
        <f>I104+0.2*(I109-I104)</f>
        <v>5.8449000000000001E-2</v>
      </c>
      <c r="J105" s="1">
        <f t="shared" si="19"/>
        <v>0.54759199999999997</v>
      </c>
      <c r="K105" s="1">
        <f t="shared" si="19"/>
        <v>0.58181650000000007</v>
      </c>
      <c r="L105" s="1">
        <f t="shared" si="19"/>
        <v>0.61604099999999995</v>
      </c>
      <c r="M105" s="1">
        <f t="shared" si="20"/>
        <v>0.5</v>
      </c>
      <c r="N105" s="1">
        <f t="shared" si="23"/>
        <v>0.5</v>
      </c>
      <c r="O105" s="1">
        <f t="shared" si="24"/>
        <v>0.5</v>
      </c>
      <c r="P105" s="1">
        <f t="shared" si="16"/>
        <v>121</v>
      </c>
      <c r="Q105" s="88">
        <f t="shared" si="21"/>
        <v>0.5</v>
      </c>
      <c r="R105" s="88">
        <f t="shared" si="17"/>
        <v>0.5</v>
      </c>
      <c r="S105" s="88">
        <f t="shared" si="18"/>
        <v>0.5</v>
      </c>
    </row>
    <row r="106" spans="8:19" x14ac:dyDescent="0.3">
      <c r="H106" s="1">
        <f t="shared" si="22"/>
        <v>122</v>
      </c>
      <c r="I106" s="1">
        <f>I104+0.4*(I109-I104)</f>
        <v>5.7158E-2</v>
      </c>
      <c r="J106" s="1">
        <f t="shared" si="19"/>
        <v>0.53726399999999996</v>
      </c>
      <c r="K106" s="1">
        <f t="shared" si="19"/>
        <v>0.57084299999999999</v>
      </c>
      <c r="L106" s="1">
        <f t="shared" si="19"/>
        <v>0.6044219999999999</v>
      </c>
      <c r="M106" s="1">
        <f t="shared" si="20"/>
        <v>0.5</v>
      </c>
      <c r="N106" s="1">
        <f t="shared" si="23"/>
        <v>0.5</v>
      </c>
      <c r="O106" s="1">
        <f t="shared" si="24"/>
        <v>0.5</v>
      </c>
      <c r="P106" s="1">
        <f t="shared" si="16"/>
        <v>122</v>
      </c>
      <c r="Q106" s="88">
        <f t="shared" si="21"/>
        <v>0.5</v>
      </c>
      <c r="R106" s="88">
        <f t="shared" si="17"/>
        <v>0.5</v>
      </c>
      <c r="S106" s="88">
        <f t="shared" si="18"/>
        <v>0.5</v>
      </c>
    </row>
    <row r="107" spans="8:19" x14ac:dyDescent="0.3">
      <c r="H107" s="1">
        <f t="shared" si="22"/>
        <v>123</v>
      </c>
      <c r="I107" s="1">
        <f>I104+0.6*(I109-I104)</f>
        <v>5.5867E-2</v>
      </c>
      <c r="J107" s="1">
        <f t="shared" si="19"/>
        <v>0.52693600000000007</v>
      </c>
      <c r="K107" s="1">
        <f t="shared" si="19"/>
        <v>0.55986950000000013</v>
      </c>
      <c r="L107" s="1">
        <f t="shared" si="19"/>
        <v>0.59280299999999997</v>
      </c>
      <c r="M107" s="1">
        <f t="shared" si="20"/>
        <v>0.5</v>
      </c>
      <c r="N107" s="1">
        <f t="shared" si="23"/>
        <v>0.5</v>
      </c>
      <c r="O107" s="1">
        <f t="shared" si="24"/>
        <v>0.5</v>
      </c>
      <c r="P107" s="1">
        <f t="shared" si="16"/>
        <v>123</v>
      </c>
      <c r="Q107" s="88">
        <f t="shared" si="21"/>
        <v>0.5</v>
      </c>
      <c r="R107" s="88">
        <f t="shared" si="17"/>
        <v>0.5</v>
      </c>
      <c r="S107" s="88">
        <f t="shared" si="18"/>
        <v>0.5</v>
      </c>
    </row>
    <row r="108" spans="8:19" x14ac:dyDescent="0.3">
      <c r="H108" s="1">
        <f t="shared" si="22"/>
        <v>124</v>
      </c>
      <c r="I108" s="1">
        <f>I104+0.8*(I109-I104)</f>
        <v>5.4576E-2</v>
      </c>
      <c r="J108" s="1">
        <f t="shared" si="19"/>
        <v>0.51660800000000007</v>
      </c>
      <c r="K108" s="1">
        <f t="shared" si="19"/>
        <v>0.54889600000000005</v>
      </c>
      <c r="L108" s="1">
        <f t="shared" si="19"/>
        <v>0.58118400000000003</v>
      </c>
      <c r="M108" s="1">
        <f t="shared" si="20"/>
        <v>0.5</v>
      </c>
      <c r="N108" s="1">
        <f t="shared" si="23"/>
        <v>0.5</v>
      </c>
      <c r="O108" s="1">
        <f t="shared" si="24"/>
        <v>0.5</v>
      </c>
      <c r="P108" s="1">
        <f t="shared" si="16"/>
        <v>124</v>
      </c>
      <c r="Q108" s="88">
        <f t="shared" si="21"/>
        <v>0.5</v>
      </c>
      <c r="R108" s="88">
        <f t="shared" si="17"/>
        <v>0.5</v>
      </c>
      <c r="S108" s="88">
        <f t="shared" si="18"/>
        <v>0.5</v>
      </c>
    </row>
    <row r="109" spans="8:19" x14ac:dyDescent="0.3">
      <c r="H109" s="1">
        <f t="shared" si="22"/>
        <v>125</v>
      </c>
      <c r="I109" s="1">
        <v>5.3284999999999999E-2</v>
      </c>
      <c r="J109" s="1">
        <f t="shared" si="19"/>
        <v>0.50628000000000006</v>
      </c>
      <c r="K109" s="1">
        <f t="shared" si="19"/>
        <v>0.53792250000000008</v>
      </c>
      <c r="L109" s="1">
        <f t="shared" si="19"/>
        <v>0.56956499999999999</v>
      </c>
      <c r="M109" s="1">
        <f t="shared" si="20"/>
        <v>0.5</v>
      </c>
      <c r="N109" s="1">
        <f t="shared" si="23"/>
        <v>0.5</v>
      </c>
      <c r="O109" s="1">
        <f t="shared" si="24"/>
        <v>0.5</v>
      </c>
      <c r="P109" s="1">
        <f t="shared" si="16"/>
        <v>125</v>
      </c>
      <c r="Q109" s="88">
        <f t="shared" si="21"/>
        <v>0.5</v>
      </c>
      <c r="R109" s="88">
        <f t="shared" si="17"/>
        <v>0.5</v>
      </c>
      <c r="S109" s="88">
        <f t="shared" si="18"/>
        <v>0.5</v>
      </c>
    </row>
    <row r="110" spans="8:19" x14ac:dyDescent="0.3">
      <c r="H110" s="1">
        <f t="shared" si="22"/>
        <v>126</v>
      </c>
      <c r="I110" s="1">
        <f>I109+0.2*(I114-I109)</f>
        <v>5.2167999999999999E-2</v>
      </c>
      <c r="J110" s="1">
        <f t="shared" si="19"/>
        <v>0.49734400000000001</v>
      </c>
      <c r="K110" s="1">
        <f t="shared" si="19"/>
        <v>0.52842800000000001</v>
      </c>
      <c r="L110" s="1">
        <f t="shared" si="19"/>
        <v>0.55951200000000001</v>
      </c>
      <c r="M110" s="1">
        <f t="shared" si="20"/>
        <v>0.5</v>
      </c>
      <c r="N110" s="1">
        <f t="shared" si="23"/>
        <v>0.5</v>
      </c>
      <c r="O110" s="1">
        <f t="shared" si="24"/>
        <v>0.5</v>
      </c>
      <c r="P110" s="1">
        <f t="shared" si="16"/>
        <v>126</v>
      </c>
      <c r="Q110" s="88">
        <f t="shared" si="21"/>
        <v>0</v>
      </c>
      <c r="R110" s="88">
        <f t="shared" si="17"/>
        <v>0.5</v>
      </c>
      <c r="S110" s="88">
        <f t="shared" si="18"/>
        <v>0.5</v>
      </c>
    </row>
    <row r="111" spans="8:19" x14ac:dyDescent="0.3">
      <c r="H111" s="1">
        <f t="shared" si="22"/>
        <v>127</v>
      </c>
      <c r="I111" s="1">
        <f>I109+0.4*(I114-I109)</f>
        <v>5.1050999999999999E-2</v>
      </c>
      <c r="J111" s="1">
        <f t="shared" si="19"/>
        <v>0.48840800000000001</v>
      </c>
      <c r="K111" s="1">
        <f t="shared" si="19"/>
        <v>0.51893350000000005</v>
      </c>
      <c r="L111" s="1">
        <f t="shared" si="19"/>
        <v>0.54945900000000003</v>
      </c>
      <c r="M111" s="1">
        <f t="shared" si="20"/>
        <v>0.5</v>
      </c>
      <c r="N111" s="1">
        <f t="shared" si="23"/>
        <v>0.5</v>
      </c>
      <c r="O111" s="1">
        <f t="shared" si="24"/>
        <v>0.5</v>
      </c>
      <c r="P111" s="1">
        <f t="shared" si="16"/>
        <v>127</v>
      </c>
      <c r="Q111" s="88">
        <f t="shared" si="21"/>
        <v>0</v>
      </c>
      <c r="R111" s="88">
        <f t="shared" si="17"/>
        <v>0.5</v>
      </c>
      <c r="S111" s="88">
        <f t="shared" si="18"/>
        <v>0.5</v>
      </c>
    </row>
    <row r="112" spans="8:19" x14ac:dyDescent="0.3">
      <c r="H112" s="1">
        <f t="shared" si="22"/>
        <v>128</v>
      </c>
      <c r="I112" s="1">
        <f>I109+0.6*(I114-I109)</f>
        <v>4.9933999999999999E-2</v>
      </c>
      <c r="J112" s="1">
        <f t="shared" si="19"/>
        <v>0.47947200000000001</v>
      </c>
      <c r="K112" s="1">
        <f t="shared" si="19"/>
        <v>0.50943900000000009</v>
      </c>
      <c r="L112" s="1">
        <f t="shared" si="19"/>
        <v>0.53940600000000005</v>
      </c>
      <c r="M112" s="1">
        <f t="shared" si="20"/>
        <v>0.5</v>
      </c>
      <c r="N112" s="1">
        <f t="shared" si="23"/>
        <v>0.5</v>
      </c>
      <c r="O112" s="1">
        <f t="shared" si="24"/>
        <v>0.5</v>
      </c>
      <c r="P112" s="1">
        <f t="shared" si="16"/>
        <v>128</v>
      </c>
      <c r="Q112" s="88">
        <f t="shared" si="21"/>
        <v>0</v>
      </c>
      <c r="R112" s="88">
        <f t="shared" si="17"/>
        <v>0.5</v>
      </c>
      <c r="S112" s="88">
        <f t="shared" si="18"/>
        <v>0.5</v>
      </c>
    </row>
    <row r="113" spans="8:19" x14ac:dyDescent="0.3">
      <c r="H113" s="1">
        <f t="shared" si="22"/>
        <v>129</v>
      </c>
      <c r="I113" s="1">
        <f>I109+0.8*(I114-I109)</f>
        <v>4.8816999999999999E-2</v>
      </c>
      <c r="J113" s="1">
        <f t="shared" si="19"/>
        <v>0.47053600000000007</v>
      </c>
      <c r="K113" s="1">
        <f t="shared" si="19"/>
        <v>0.49994450000000007</v>
      </c>
      <c r="L113" s="1">
        <f t="shared" si="19"/>
        <v>0.52935299999999996</v>
      </c>
      <c r="M113" s="1">
        <f t="shared" si="20"/>
        <v>0.5</v>
      </c>
      <c r="N113" s="1">
        <f t="shared" si="23"/>
        <v>0.5</v>
      </c>
      <c r="O113" s="1">
        <f t="shared" si="24"/>
        <v>0.5</v>
      </c>
      <c r="P113" s="1">
        <f t="shared" si="16"/>
        <v>129</v>
      </c>
      <c r="Q113" s="88">
        <f t="shared" si="21"/>
        <v>0</v>
      </c>
      <c r="R113" s="88">
        <f t="shared" si="17"/>
        <v>0</v>
      </c>
      <c r="S113" s="88">
        <f t="shared" si="18"/>
        <v>0.5</v>
      </c>
    </row>
    <row r="114" spans="8:19" x14ac:dyDescent="0.3">
      <c r="H114" s="1">
        <f t="shared" si="22"/>
        <v>130</v>
      </c>
      <c r="I114" s="1">
        <v>4.7699999999999999E-2</v>
      </c>
      <c r="J114" s="1">
        <f t="shared" si="19"/>
        <v>0.46159999999999995</v>
      </c>
      <c r="K114" s="1">
        <f t="shared" si="19"/>
        <v>0.49045</v>
      </c>
      <c r="L114" s="1">
        <f t="shared" si="19"/>
        <v>0.51929999999999998</v>
      </c>
      <c r="M114" s="1">
        <f t="shared" si="20"/>
        <v>0.5</v>
      </c>
      <c r="N114" s="1">
        <f t="shared" si="23"/>
        <v>0.5</v>
      </c>
      <c r="O114" s="1">
        <f t="shared" si="24"/>
        <v>0.5</v>
      </c>
      <c r="P114" s="1">
        <f t="shared" si="16"/>
        <v>130</v>
      </c>
      <c r="Q114" s="88">
        <f t="shared" si="21"/>
        <v>0</v>
      </c>
      <c r="R114" s="88">
        <f t="shared" si="17"/>
        <v>0</v>
      </c>
      <c r="S114" s="88">
        <f t="shared" si="18"/>
        <v>0.5</v>
      </c>
    </row>
    <row r="115" spans="8:19" x14ac:dyDescent="0.3">
      <c r="H115" s="1">
        <f t="shared" si="22"/>
        <v>131</v>
      </c>
      <c r="I115" s="1">
        <f>I114+0.2*(I119-I114)</f>
        <v>4.6699999999999998E-2</v>
      </c>
      <c r="J115" s="1">
        <f t="shared" si="19"/>
        <v>0.4536</v>
      </c>
      <c r="K115" s="1">
        <f t="shared" si="19"/>
        <v>0.48195000000000005</v>
      </c>
      <c r="L115" s="1">
        <f t="shared" si="19"/>
        <v>0.51029999999999998</v>
      </c>
      <c r="M115" s="1">
        <f t="shared" si="20"/>
        <v>0.5</v>
      </c>
      <c r="N115" s="1">
        <f t="shared" si="23"/>
        <v>0.5</v>
      </c>
      <c r="O115" s="1">
        <f t="shared" si="24"/>
        <v>0.5</v>
      </c>
      <c r="P115" s="1">
        <f t="shared" si="16"/>
        <v>131</v>
      </c>
      <c r="Q115" s="88">
        <f t="shared" si="21"/>
        <v>0</v>
      </c>
      <c r="R115" s="88">
        <f t="shared" si="17"/>
        <v>0</v>
      </c>
      <c r="S115" s="88">
        <f t="shared" si="18"/>
        <v>0.5</v>
      </c>
    </row>
    <row r="116" spans="8:19" x14ac:dyDescent="0.3">
      <c r="H116" s="1">
        <f t="shared" si="22"/>
        <v>132</v>
      </c>
      <c r="I116" s="1">
        <f>I114+0.4*(I119-I114)</f>
        <v>4.5699999999999998E-2</v>
      </c>
      <c r="J116" s="1">
        <f t="shared" si="19"/>
        <v>0.44559999999999994</v>
      </c>
      <c r="K116" s="1">
        <f t="shared" si="19"/>
        <v>0.47344999999999998</v>
      </c>
      <c r="L116" s="1">
        <f t="shared" si="19"/>
        <v>0.50129999999999997</v>
      </c>
      <c r="M116" s="1">
        <f t="shared" si="20"/>
        <v>0.5</v>
      </c>
      <c r="N116" s="1">
        <f t="shared" si="23"/>
        <v>0.5</v>
      </c>
      <c r="O116" s="1">
        <f t="shared" si="24"/>
        <v>0.5</v>
      </c>
      <c r="P116" s="1">
        <f t="shared" si="16"/>
        <v>132</v>
      </c>
      <c r="Q116" s="88">
        <f t="shared" si="21"/>
        <v>0</v>
      </c>
      <c r="R116" s="88">
        <f t="shared" si="17"/>
        <v>0</v>
      </c>
      <c r="S116" s="88">
        <f t="shared" si="18"/>
        <v>0.5</v>
      </c>
    </row>
    <row r="117" spans="8:19" x14ac:dyDescent="0.3">
      <c r="H117" s="1">
        <f t="shared" si="22"/>
        <v>133</v>
      </c>
      <c r="I117" s="1">
        <f>I114+0.6*(I119-I114)</f>
        <v>4.4700000000000004E-2</v>
      </c>
      <c r="J117" s="1">
        <f t="shared" si="19"/>
        <v>0.43760000000000004</v>
      </c>
      <c r="K117" s="1">
        <f t="shared" si="19"/>
        <v>0.46495000000000009</v>
      </c>
      <c r="L117" s="1">
        <f t="shared" si="19"/>
        <v>0.49230000000000002</v>
      </c>
      <c r="M117" s="1">
        <f t="shared" si="20"/>
        <v>0.5</v>
      </c>
      <c r="N117" s="1">
        <f t="shared" si="23"/>
        <v>0.5</v>
      </c>
      <c r="O117" s="1">
        <f t="shared" si="24"/>
        <v>0.5</v>
      </c>
      <c r="P117" s="1">
        <f t="shared" si="16"/>
        <v>133</v>
      </c>
      <c r="Q117" s="88">
        <f t="shared" si="21"/>
        <v>0</v>
      </c>
      <c r="R117" s="88">
        <f t="shared" si="17"/>
        <v>0</v>
      </c>
      <c r="S117" s="88">
        <f t="shared" si="18"/>
        <v>0</v>
      </c>
    </row>
    <row r="118" spans="8:19" x14ac:dyDescent="0.3">
      <c r="H118" s="1">
        <f t="shared" si="22"/>
        <v>134</v>
      </c>
      <c r="I118" s="1">
        <f>I114+0.8*(I119-I114)</f>
        <v>4.3700000000000003E-2</v>
      </c>
      <c r="J118" s="1">
        <f t="shared" si="19"/>
        <v>0.42960000000000004</v>
      </c>
      <c r="K118" s="1">
        <f t="shared" si="19"/>
        <v>0.45645000000000002</v>
      </c>
      <c r="L118" s="1">
        <f t="shared" si="19"/>
        <v>0.48330000000000001</v>
      </c>
      <c r="M118" s="1">
        <f t="shared" si="20"/>
        <v>0.5</v>
      </c>
      <c r="N118" s="1">
        <f t="shared" si="23"/>
        <v>0.5</v>
      </c>
      <c r="O118" s="1">
        <f t="shared" si="24"/>
        <v>0.5</v>
      </c>
      <c r="P118" s="1">
        <f t="shared" si="16"/>
        <v>134</v>
      </c>
      <c r="Q118" s="88">
        <f t="shared" si="21"/>
        <v>0</v>
      </c>
      <c r="R118" s="88">
        <f t="shared" si="17"/>
        <v>0</v>
      </c>
      <c r="S118" s="88">
        <f t="shared" si="18"/>
        <v>0</v>
      </c>
    </row>
    <row r="119" spans="8:19" x14ac:dyDescent="0.3">
      <c r="H119" s="1">
        <f t="shared" si="22"/>
        <v>135</v>
      </c>
      <c r="I119" s="1">
        <v>4.2700000000000002E-2</v>
      </c>
      <c r="J119" s="1">
        <f t="shared" si="19"/>
        <v>0.42160000000000003</v>
      </c>
      <c r="K119" s="1">
        <f t="shared" si="19"/>
        <v>0.44795000000000007</v>
      </c>
      <c r="L119" s="1">
        <f t="shared" si="19"/>
        <v>0.4743</v>
      </c>
      <c r="M119" s="1">
        <f t="shared" si="20"/>
        <v>0.5</v>
      </c>
      <c r="N119" s="1">
        <f t="shared" si="23"/>
        <v>0.5</v>
      </c>
      <c r="O119" s="1">
        <f t="shared" si="24"/>
        <v>0.5</v>
      </c>
      <c r="P119" s="1">
        <f t="shared" si="16"/>
        <v>135</v>
      </c>
      <c r="Q119" s="88">
        <f t="shared" si="21"/>
        <v>0</v>
      </c>
      <c r="R119" s="88">
        <f t="shared" si="17"/>
        <v>0</v>
      </c>
      <c r="S119" s="88">
        <f t="shared" si="18"/>
        <v>0</v>
      </c>
    </row>
    <row r="120" spans="8:19" x14ac:dyDescent="0.3">
      <c r="H120" s="1">
        <f t="shared" si="22"/>
        <v>136</v>
      </c>
      <c r="I120" s="1">
        <f>I119+0.2*(I124-I119)</f>
        <v>4.1840000000000002E-2</v>
      </c>
      <c r="J120" s="1">
        <f t="shared" si="19"/>
        <v>0.41472000000000003</v>
      </c>
      <c r="K120" s="1">
        <f t="shared" si="19"/>
        <v>0.44064000000000003</v>
      </c>
      <c r="L120" s="1">
        <f t="shared" si="19"/>
        <v>0.46655999999999997</v>
      </c>
      <c r="M120" s="1">
        <f t="shared" si="20"/>
        <v>0.5</v>
      </c>
      <c r="N120" s="1">
        <f t="shared" si="23"/>
        <v>0.5</v>
      </c>
      <c r="O120" s="1">
        <f t="shared" si="24"/>
        <v>0.5</v>
      </c>
      <c r="P120" s="1">
        <f t="shared" si="16"/>
        <v>136</v>
      </c>
      <c r="Q120" s="88">
        <f t="shared" si="21"/>
        <v>0</v>
      </c>
      <c r="R120" s="88">
        <f t="shared" si="17"/>
        <v>0</v>
      </c>
      <c r="S120" s="88">
        <f t="shared" si="18"/>
        <v>0</v>
      </c>
    </row>
    <row r="121" spans="8:19" x14ac:dyDescent="0.3">
      <c r="H121" s="1">
        <f t="shared" si="22"/>
        <v>137</v>
      </c>
      <c r="I121" s="1">
        <f>I119+0.4*(I124-I119)</f>
        <v>4.0980000000000003E-2</v>
      </c>
      <c r="J121" s="1">
        <f t="shared" si="19"/>
        <v>0.40783999999999998</v>
      </c>
      <c r="K121" s="1">
        <f t="shared" si="19"/>
        <v>0.43332999999999999</v>
      </c>
      <c r="L121" s="1">
        <f t="shared" si="19"/>
        <v>0.45881999999999995</v>
      </c>
      <c r="M121" s="1">
        <f t="shared" si="20"/>
        <v>0.5</v>
      </c>
      <c r="N121" s="1">
        <f t="shared" si="23"/>
        <v>0.5</v>
      </c>
      <c r="O121" s="1">
        <f t="shared" si="24"/>
        <v>0.5</v>
      </c>
      <c r="P121" s="1">
        <f t="shared" si="16"/>
        <v>137</v>
      </c>
      <c r="Q121" s="88">
        <f t="shared" si="21"/>
        <v>0</v>
      </c>
      <c r="R121" s="88">
        <f t="shared" si="17"/>
        <v>0</v>
      </c>
      <c r="S121" s="88">
        <f t="shared" si="18"/>
        <v>0</v>
      </c>
    </row>
    <row r="122" spans="8:19" x14ac:dyDescent="0.3">
      <c r="H122" s="1">
        <f t="shared" si="22"/>
        <v>138</v>
      </c>
      <c r="I122" s="1">
        <f>I119+0.6*(I124-I119)</f>
        <v>4.0119999999999996E-2</v>
      </c>
      <c r="J122" s="1">
        <f t="shared" si="19"/>
        <v>0.40095999999999998</v>
      </c>
      <c r="K122" s="1">
        <f t="shared" si="19"/>
        <v>0.42602000000000001</v>
      </c>
      <c r="L122" s="1">
        <f t="shared" si="19"/>
        <v>0.45107999999999993</v>
      </c>
      <c r="M122" s="1">
        <f t="shared" si="20"/>
        <v>0.5</v>
      </c>
      <c r="N122" s="1">
        <f t="shared" si="23"/>
        <v>0.5</v>
      </c>
      <c r="O122" s="1">
        <f t="shared" si="24"/>
        <v>0.5</v>
      </c>
      <c r="P122" s="1">
        <f t="shared" si="16"/>
        <v>138</v>
      </c>
      <c r="Q122" s="88">
        <f t="shared" si="21"/>
        <v>0</v>
      </c>
      <c r="R122" s="88">
        <f t="shared" si="17"/>
        <v>0</v>
      </c>
      <c r="S122" s="88">
        <f t="shared" si="18"/>
        <v>0</v>
      </c>
    </row>
    <row r="123" spans="8:19" x14ac:dyDescent="0.3">
      <c r="H123" s="1">
        <f t="shared" si="22"/>
        <v>139</v>
      </c>
      <c r="I123" s="1">
        <f>I119+0.8*(I124-I119)</f>
        <v>3.9259999999999996E-2</v>
      </c>
      <c r="J123" s="1">
        <f t="shared" si="19"/>
        <v>0.39408000000000004</v>
      </c>
      <c r="K123" s="1">
        <f t="shared" si="19"/>
        <v>0.41871000000000003</v>
      </c>
      <c r="L123" s="1">
        <f t="shared" si="19"/>
        <v>0.44334000000000001</v>
      </c>
      <c r="M123" s="1">
        <f t="shared" si="20"/>
        <v>0.5</v>
      </c>
      <c r="N123" s="1">
        <f t="shared" si="23"/>
        <v>0.5</v>
      </c>
      <c r="O123" s="1">
        <f t="shared" si="24"/>
        <v>0.5</v>
      </c>
      <c r="P123" s="1">
        <f t="shared" si="16"/>
        <v>139</v>
      </c>
      <c r="Q123" s="88">
        <f t="shared" si="21"/>
        <v>0</v>
      </c>
      <c r="R123" s="88">
        <f t="shared" si="17"/>
        <v>0</v>
      </c>
      <c r="S123" s="88">
        <f t="shared" si="18"/>
        <v>0</v>
      </c>
    </row>
    <row r="124" spans="8:19" x14ac:dyDescent="0.3">
      <c r="H124" s="1">
        <f t="shared" si="22"/>
        <v>140</v>
      </c>
      <c r="I124" s="1">
        <v>3.8399999999999997E-2</v>
      </c>
      <c r="J124" s="1">
        <f t="shared" si="19"/>
        <v>0.38719999999999999</v>
      </c>
      <c r="K124" s="1">
        <f t="shared" si="19"/>
        <v>0.41140000000000004</v>
      </c>
      <c r="L124" s="1">
        <f t="shared" si="19"/>
        <v>0.43559999999999999</v>
      </c>
      <c r="M124" s="1">
        <f t="shared" si="20"/>
        <v>0.5</v>
      </c>
      <c r="N124" s="1">
        <f t="shared" si="23"/>
        <v>0.5</v>
      </c>
      <c r="O124" s="1">
        <f t="shared" si="24"/>
        <v>0.5</v>
      </c>
      <c r="P124" s="1">
        <f t="shared" si="16"/>
        <v>140</v>
      </c>
      <c r="Q124" s="88">
        <f t="shared" si="21"/>
        <v>0</v>
      </c>
      <c r="R124" s="88">
        <f t="shared" si="17"/>
        <v>0</v>
      </c>
      <c r="S124" s="88">
        <f t="shared" si="18"/>
        <v>0</v>
      </c>
    </row>
    <row r="125" spans="8:19" x14ac:dyDescent="0.3">
      <c r="H125" s="1">
        <f t="shared" si="22"/>
        <v>141</v>
      </c>
      <c r="I125" s="1">
        <f>I124+0.2*(I129-I124)</f>
        <v>3.764E-2</v>
      </c>
      <c r="J125" s="1">
        <f t="shared" si="19"/>
        <v>0.38111999999999996</v>
      </c>
      <c r="K125" s="1">
        <f t="shared" si="19"/>
        <v>0.40493999999999997</v>
      </c>
      <c r="L125" s="1">
        <f t="shared" si="19"/>
        <v>0.42875999999999992</v>
      </c>
      <c r="M125" s="1">
        <f t="shared" si="20"/>
        <v>0.5</v>
      </c>
      <c r="N125" s="1">
        <f t="shared" si="23"/>
        <v>0.5</v>
      </c>
      <c r="O125" s="1">
        <f t="shared" si="24"/>
        <v>0.5</v>
      </c>
      <c r="P125" s="1">
        <f t="shared" si="16"/>
        <v>141</v>
      </c>
      <c r="Q125" s="88">
        <f t="shared" si="21"/>
        <v>0</v>
      </c>
      <c r="R125" s="88">
        <f t="shared" si="17"/>
        <v>0</v>
      </c>
      <c r="S125" s="88">
        <f t="shared" si="18"/>
        <v>0</v>
      </c>
    </row>
    <row r="126" spans="8:19" x14ac:dyDescent="0.3">
      <c r="H126" s="1">
        <f t="shared" si="22"/>
        <v>142</v>
      </c>
      <c r="I126" s="1">
        <f>I124+0.4*(I129-I124)</f>
        <v>3.6879999999999996E-2</v>
      </c>
      <c r="J126" s="1">
        <f t="shared" si="19"/>
        <v>0.37503999999999998</v>
      </c>
      <c r="K126" s="1">
        <f t="shared" si="19"/>
        <v>0.39848</v>
      </c>
      <c r="L126" s="1">
        <f t="shared" si="19"/>
        <v>0.42191999999999996</v>
      </c>
      <c r="M126" s="1">
        <f t="shared" si="20"/>
        <v>0.5</v>
      </c>
      <c r="N126" s="1">
        <f t="shared" si="23"/>
        <v>0.5</v>
      </c>
      <c r="O126" s="1">
        <f t="shared" si="24"/>
        <v>0.5</v>
      </c>
      <c r="P126" s="1">
        <f t="shared" si="16"/>
        <v>142</v>
      </c>
      <c r="Q126" s="88">
        <f t="shared" si="21"/>
        <v>0</v>
      </c>
      <c r="R126" s="88">
        <f t="shared" si="17"/>
        <v>0</v>
      </c>
      <c r="S126" s="88">
        <f t="shared" si="18"/>
        <v>0</v>
      </c>
    </row>
    <row r="127" spans="8:19" x14ac:dyDescent="0.3">
      <c r="H127" s="1">
        <f t="shared" si="22"/>
        <v>143</v>
      </c>
      <c r="I127" s="1">
        <f>I124+0.6*(I129-I124)</f>
        <v>3.6119999999999999E-2</v>
      </c>
      <c r="J127" s="1">
        <f t="shared" si="19"/>
        <v>0.36896000000000001</v>
      </c>
      <c r="K127" s="1">
        <f t="shared" si="19"/>
        <v>0.39202000000000004</v>
      </c>
      <c r="L127" s="1">
        <f t="shared" si="19"/>
        <v>0.41508</v>
      </c>
      <c r="M127" s="1">
        <f t="shared" si="20"/>
        <v>0.5</v>
      </c>
      <c r="N127" s="1">
        <f t="shared" si="23"/>
        <v>0.5</v>
      </c>
      <c r="O127" s="1">
        <f t="shared" si="24"/>
        <v>0.5</v>
      </c>
      <c r="P127" s="1">
        <f t="shared" si="16"/>
        <v>143</v>
      </c>
      <c r="Q127" s="88">
        <f t="shared" si="21"/>
        <v>0</v>
      </c>
      <c r="R127" s="88">
        <f t="shared" si="17"/>
        <v>0</v>
      </c>
      <c r="S127" s="88">
        <f t="shared" si="18"/>
        <v>0</v>
      </c>
    </row>
    <row r="128" spans="8:19" x14ac:dyDescent="0.3">
      <c r="H128" s="1">
        <f t="shared" si="22"/>
        <v>144</v>
      </c>
      <c r="I128" s="1">
        <f>I124+0.8*(I129-I124)</f>
        <v>3.5359999999999996E-2</v>
      </c>
      <c r="J128" s="1">
        <f t="shared" si="19"/>
        <v>0.36287999999999998</v>
      </c>
      <c r="K128" s="1">
        <f t="shared" si="19"/>
        <v>0.38556000000000001</v>
      </c>
      <c r="L128" s="1">
        <f t="shared" si="19"/>
        <v>0.40823999999999994</v>
      </c>
      <c r="M128" s="1">
        <f t="shared" si="20"/>
        <v>0.5</v>
      </c>
      <c r="N128" s="1">
        <f t="shared" si="23"/>
        <v>0.5</v>
      </c>
      <c r="O128" s="1">
        <f t="shared" si="24"/>
        <v>0.5</v>
      </c>
      <c r="P128" s="1">
        <f t="shared" si="16"/>
        <v>144</v>
      </c>
      <c r="Q128" s="88">
        <f t="shared" si="21"/>
        <v>0</v>
      </c>
      <c r="R128" s="88">
        <f t="shared" si="17"/>
        <v>0</v>
      </c>
      <c r="S128" s="88">
        <f t="shared" si="18"/>
        <v>0</v>
      </c>
    </row>
    <row r="129" spans="8:19" x14ac:dyDescent="0.3">
      <c r="H129" s="1">
        <f t="shared" si="22"/>
        <v>145</v>
      </c>
      <c r="I129" s="1">
        <v>3.4599999999999999E-2</v>
      </c>
      <c r="J129" s="1">
        <f t="shared" si="19"/>
        <v>0.35680000000000001</v>
      </c>
      <c r="K129" s="1">
        <f t="shared" si="19"/>
        <v>0.37910000000000005</v>
      </c>
      <c r="L129" s="1">
        <f t="shared" si="19"/>
        <v>0.40139999999999998</v>
      </c>
      <c r="M129" s="1">
        <f t="shared" si="20"/>
        <v>0.5</v>
      </c>
      <c r="N129" s="1">
        <f t="shared" si="23"/>
        <v>0.5</v>
      </c>
      <c r="O129" s="1">
        <f t="shared" si="24"/>
        <v>0.5</v>
      </c>
      <c r="P129" s="1">
        <f t="shared" si="16"/>
        <v>145</v>
      </c>
      <c r="Q129" s="88">
        <f t="shared" si="21"/>
        <v>0</v>
      </c>
      <c r="R129" s="88">
        <f t="shared" si="17"/>
        <v>0</v>
      </c>
      <c r="S129" s="88">
        <f t="shared" si="18"/>
        <v>0</v>
      </c>
    </row>
    <row r="130" spans="8:19" x14ac:dyDescent="0.3">
      <c r="H130" s="1">
        <f t="shared" si="22"/>
        <v>146</v>
      </c>
      <c r="I130" s="1">
        <f>I129+0.2*(I134-I129)</f>
        <v>3.3919999999999999E-2</v>
      </c>
      <c r="J130" s="1">
        <f t="shared" si="19"/>
        <v>0.35135999999999995</v>
      </c>
      <c r="K130" s="1">
        <f t="shared" si="19"/>
        <v>0.37331999999999999</v>
      </c>
      <c r="L130" s="1">
        <f t="shared" si="19"/>
        <v>0.39527999999999991</v>
      </c>
      <c r="M130" s="1">
        <f t="shared" si="20"/>
        <v>0.5</v>
      </c>
      <c r="N130" s="1">
        <f t="shared" si="23"/>
        <v>0.5</v>
      </c>
      <c r="O130" s="1">
        <f t="shared" si="24"/>
        <v>0.5</v>
      </c>
      <c r="P130" s="1">
        <f t="shared" si="16"/>
        <v>146</v>
      </c>
      <c r="Q130" s="88">
        <f t="shared" si="21"/>
        <v>0</v>
      </c>
      <c r="R130" s="88">
        <f t="shared" si="17"/>
        <v>0</v>
      </c>
      <c r="S130" s="88">
        <f t="shared" si="18"/>
        <v>0</v>
      </c>
    </row>
    <row r="131" spans="8:19" x14ac:dyDescent="0.3">
      <c r="H131" s="1">
        <f t="shared" si="22"/>
        <v>147</v>
      </c>
      <c r="I131" s="1">
        <f>I129+0.4*(I134-I129)</f>
        <v>3.3239999999999999E-2</v>
      </c>
      <c r="J131" s="1">
        <f t="shared" si="19"/>
        <v>0.34592000000000001</v>
      </c>
      <c r="K131" s="1">
        <f t="shared" si="19"/>
        <v>0.36754000000000003</v>
      </c>
      <c r="L131" s="1">
        <f t="shared" si="19"/>
        <v>0.38915999999999995</v>
      </c>
      <c r="M131" s="1">
        <f t="shared" si="20"/>
        <v>0.5</v>
      </c>
      <c r="N131" s="1">
        <f t="shared" si="23"/>
        <v>0.5</v>
      </c>
      <c r="O131" s="1">
        <f t="shared" si="24"/>
        <v>0.5</v>
      </c>
      <c r="P131" s="1">
        <f t="shared" si="16"/>
        <v>147</v>
      </c>
      <c r="Q131" s="88">
        <f t="shared" si="21"/>
        <v>0</v>
      </c>
      <c r="R131" s="88">
        <f t="shared" si="17"/>
        <v>0</v>
      </c>
      <c r="S131" s="88">
        <f t="shared" si="18"/>
        <v>0</v>
      </c>
    </row>
    <row r="132" spans="8:19" x14ac:dyDescent="0.3">
      <c r="H132" s="1">
        <f t="shared" si="22"/>
        <v>148</v>
      </c>
      <c r="I132" s="1">
        <f>I129+0.6*(I134-I129)</f>
        <v>3.2559999999999999E-2</v>
      </c>
      <c r="J132" s="1">
        <f t="shared" si="19"/>
        <v>0.34048</v>
      </c>
      <c r="K132" s="1">
        <f t="shared" si="19"/>
        <v>0.36176000000000003</v>
      </c>
      <c r="L132" s="1">
        <f t="shared" si="19"/>
        <v>0.38303999999999999</v>
      </c>
      <c r="M132" s="1">
        <f t="shared" si="20"/>
        <v>0.5</v>
      </c>
      <c r="N132" s="1">
        <f t="shared" si="23"/>
        <v>0.5</v>
      </c>
      <c r="O132" s="1">
        <f t="shared" si="24"/>
        <v>0.5</v>
      </c>
      <c r="P132" s="1">
        <f t="shared" si="16"/>
        <v>148</v>
      </c>
      <c r="Q132" s="88">
        <f t="shared" si="21"/>
        <v>0</v>
      </c>
      <c r="R132" s="88">
        <f t="shared" si="17"/>
        <v>0</v>
      </c>
      <c r="S132" s="88">
        <f t="shared" si="18"/>
        <v>0</v>
      </c>
    </row>
    <row r="133" spans="8:19" x14ac:dyDescent="0.3">
      <c r="H133" s="1">
        <f t="shared" si="22"/>
        <v>149</v>
      </c>
      <c r="I133" s="1">
        <f>I129+0.8*(I134-I129)</f>
        <v>3.1879999999999999E-2</v>
      </c>
      <c r="J133" s="1">
        <f t="shared" si="19"/>
        <v>0.33504</v>
      </c>
      <c r="K133" s="1">
        <f t="shared" si="19"/>
        <v>0.35598000000000002</v>
      </c>
      <c r="L133" s="1">
        <f t="shared" si="19"/>
        <v>0.37691999999999998</v>
      </c>
      <c r="M133" s="1">
        <f t="shared" si="20"/>
        <v>0.5</v>
      </c>
      <c r="N133" s="1">
        <f t="shared" si="23"/>
        <v>0.5</v>
      </c>
      <c r="O133" s="1">
        <f t="shared" si="24"/>
        <v>0.5</v>
      </c>
      <c r="P133" s="1">
        <f t="shared" si="16"/>
        <v>149</v>
      </c>
      <c r="Q133" s="88">
        <f t="shared" si="21"/>
        <v>0</v>
      </c>
      <c r="R133" s="88">
        <f t="shared" si="17"/>
        <v>0</v>
      </c>
      <c r="S133" s="88">
        <f t="shared" si="18"/>
        <v>0</v>
      </c>
    </row>
    <row r="134" spans="8:19" x14ac:dyDescent="0.3">
      <c r="H134" s="1">
        <f t="shared" si="22"/>
        <v>150</v>
      </c>
      <c r="I134" s="1">
        <v>3.1199999999999999E-2</v>
      </c>
      <c r="J134" s="1">
        <f t="shared" si="19"/>
        <v>0.32959999999999995</v>
      </c>
      <c r="K134" s="1">
        <f t="shared" si="19"/>
        <v>0.35019999999999996</v>
      </c>
      <c r="L134" s="1">
        <f t="shared" si="19"/>
        <v>0.37079999999999991</v>
      </c>
      <c r="M134" s="1">
        <f t="shared" si="20"/>
        <v>0.5</v>
      </c>
      <c r="N134" s="1">
        <f t="shared" si="23"/>
        <v>0.5</v>
      </c>
      <c r="O134" s="1">
        <f t="shared" si="24"/>
        <v>0.5</v>
      </c>
      <c r="P134" s="1">
        <f t="shared" si="16"/>
        <v>150</v>
      </c>
      <c r="Q134" s="88">
        <f t="shared" si="21"/>
        <v>0</v>
      </c>
      <c r="R134" s="88">
        <f t="shared" si="17"/>
        <v>0</v>
      </c>
      <c r="S134" s="88">
        <f t="shared" si="18"/>
        <v>0</v>
      </c>
    </row>
  </sheetData>
  <sheetProtection password="DD03" sheet="1" objects="1" scenarios="1"/>
  <mergeCells count="5">
    <mergeCell ref="A1:L1"/>
    <mergeCell ref="C4:D4"/>
    <mergeCell ref="C5:D5"/>
    <mergeCell ref="C6:D6"/>
    <mergeCell ref="J7:L7"/>
  </mergeCells>
  <dataValidations disablePrompts="1" count="1">
    <dataValidation type="decimal" allowBlank="1" showInputMessage="1" showErrorMessage="1" sqref="E6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Step 1 Design Parameters</vt:lpstr>
      <vt:lpstr>Step 2 Magnetic Design</vt:lpstr>
      <vt:lpstr>Inductor Worksheet</vt:lpstr>
      <vt:lpstr>Other Core</vt:lpstr>
      <vt:lpstr>Step 3 Thermal Protection</vt:lpstr>
      <vt:lpstr>TCO Worksheet</vt:lpstr>
      <vt:lpstr>Cores</vt:lpstr>
      <vt:lpstr>Frequency</vt:lpstr>
      <vt:lpstr>Front_end</vt:lpstr>
      <vt:lpstr>Topology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FG3PRF</dc:creator>
  <cp:lastModifiedBy>Frazier Pruett</cp:lastModifiedBy>
  <dcterms:created xsi:type="dcterms:W3CDTF">2012-07-22T14:55:21Z</dcterms:created>
  <dcterms:modified xsi:type="dcterms:W3CDTF">2014-10-06T22:11:57Z</dcterms:modified>
</cp:coreProperties>
</file>