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13260" windowHeight="8775" activeTab="2"/>
  </bookViews>
  <sheets>
    <sheet name="Important_Notice_NCP1602" sheetId="1" r:id="rId1"/>
    <sheet name="NCP1602_Calc_Sheet_ZCD_w_Vdrain" sheetId="2" r:id="rId2"/>
    <sheet name="NCP1602_Calc_Sheet_ZCD_w_Vaux" sheetId="3" r:id="rId3"/>
    <sheet name="Sheet1" sheetId="4" r:id="rId4"/>
  </sheets>
  <definedNames>
    <definedName name="Cbo">#REF!</definedName>
    <definedName name="Cbo_calc">#REF!</definedName>
    <definedName name="Cbulk">#REF!</definedName>
    <definedName name="EFF">#REF!</definedName>
    <definedName name="Fac">#REF!</definedName>
    <definedName name="Fbo">#REF!</definedName>
    <definedName name="Fc">#REF!</definedName>
    <definedName name="fp">#REF!</definedName>
    <definedName name="fp0">#REF!</definedName>
    <definedName name="fz">#REF!</definedName>
    <definedName name="G0">#REF!</definedName>
    <definedName name="IBO">#REF!</definedName>
    <definedName name="ILmax">#REF!</definedName>
    <definedName name="Kbo">#REF!</definedName>
    <definedName name="L">#REF!</definedName>
    <definedName name="N">#REF!</definedName>
    <definedName name="OPTN" localSheetId="1">'NCP1602_Calc_Sheet_ZCD_w_Vdrain'!$T$51:$T$59</definedName>
    <definedName name="OPTN">'NCP1602_Calc_Sheet_ZCD_w_Vaux'!$T$54:$T$62</definedName>
    <definedName name="Pout">#REF!</definedName>
    <definedName name="_xlnm.Print_Area" localSheetId="0">'Important_Notice_NCP1602'!$B$1:$X$55</definedName>
    <definedName name="_xlnm.Print_Area" localSheetId="2">'NCP1602_Calc_Sheet_ZCD_w_Vaux'!$A$1:$AJ$105</definedName>
    <definedName name="_xlnm.Print_Area" localSheetId="1">'NCP1602_Calc_Sheet_ZCD_w_Vdrain'!$A$1:$AH$102</definedName>
    <definedName name="Rbo_calc">#REF!</definedName>
    <definedName name="Rbo1">#REF!</definedName>
    <definedName name="Rbo2">#REF!</definedName>
    <definedName name="Rbo2cal">#REF!</definedName>
    <definedName name="Rbo2calc">#REF!</definedName>
    <definedName name="RdsON">#REF!</definedName>
    <definedName name="Rfb1">#REF!</definedName>
    <definedName name="Rfb2">#REF!</definedName>
    <definedName name="Rt">#REF!</definedName>
    <definedName name="VacBO">#REF!</definedName>
    <definedName name="VacBOH">#REF!</definedName>
    <definedName name="VacBOL">#REF!</definedName>
    <definedName name="VacHL">#REF!</definedName>
    <definedName name="VacLL">#REF!</definedName>
    <definedName name="VoutNOM">#REF!</definedName>
    <definedName name="xxxx">#REF!</definedName>
  </definedNames>
  <calcPr fullCalcOnLoad="1"/>
</workbook>
</file>

<file path=xl/sharedStrings.xml><?xml version="1.0" encoding="utf-8"?>
<sst xmlns="http://schemas.openxmlformats.org/spreadsheetml/2006/main" count="509" uniqueCount="220">
  <si>
    <t>Please enter your specification</t>
  </si>
  <si>
    <t>eff</t>
  </si>
  <si>
    <t>Maximum output power</t>
  </si>
  <si>
    <t>(V)</t>
  </si>
  <si>
    <t>(%)</t>
  </si>
  <si>
    <t>(W)</t>
  </si>
  <si>
    <t>(A)</t>
  </si>
  <si>
    <t>(nF)</t>
  </si>
  <si>
    <t>(ms)</t>
  </si>
  <si>
    <t>(Hz)</t>
  </si>
  <si>
    <t>Ac line frequency</t>
  </si>
  <si>
    <t>(kHz)</t>
  </si>
  <si>
    <t>(mW)</t>
  </si>
  <si>
    <t>Cells to be filled</t>
  </si>
  <si>
    <t>(°)</t>
  </si>
  <si>
    <t>Main Conduction Losses</t>
  </si>
  <si>
    <t>Switching frequency at low line, full load (top of the sinusoid)</t>
  </si>
  <si>
    <t>Pole frequency of the PFC boost converter at low line, full load</t>
  </si>
  <si>
    <t>(pF)</t>
  </si>
  <si>
    <t>Calculated values</t>
  </si>
  <si>
    <t>Hold-up time. Put 0 if no hold-up time is specified or if you don't know</t>
  </si>
  <si>
    <t>Minimum output voltage you can accept at the end of the hold-up time - Don't fill this cell or put any value if no hold-up time is specified</t>
  </si>
  <si>
    <r>
      <t>Targeted crossover Frequency @ V</t>
    </r>
    <r>
      <rPr>
        <b/>
        <i/>
        <vertAlign val="subscript"/>
        <sz val="11"/>
        <rFont val="Arial"/>
        <family val="2"/>
      </rPr>
      <t>acLL</t>
    </r>
    <r>
      <rPr>
        <b/>
        <i/>
        <sz val="11"/>
        <rFont val="Arial"/>
        <family val="2"/>
      </rPr>
      <t>, full load .You can use f</t>
    </r>
    <r>
      <rPr>
        <b/>
        <i/>
        <vertAlign val="subscript"/>
        <sz val="11"/>
        <rFont val="Arial"/>
        <family val="2"/>
      </rPr>
      <t>ac</t>
    </r>
    <r>
      <rPr>
        <b/>
        <i/>
        <sz val="11"/>
        <rFont val="Arial"/>
        <family val="2"/>
      </rPr>
      <t>/4 by default</t>
    </r>
  </si>
  <si>
    <t>Bulk Capacitor  and Inductor</t>
  </si>
  <si>
    <t>L</t>
  </si>
  <si>
    <t>( - )</t>
  </si>
  <si>
    <r>
      <t>Minimum C</t>
    </r>
    <r>
      <rPr>
        <b/>
        <i/>
        <vertAlign val="subscript"/>
        <sz val="11"/>
        <rFont val="Arial"/>
        <family val="2"/>
      </rPr>
      <t>bulk</t>
    </r>
    <r>
      <rPr>
        <b/>
        <i/>
        <sz val="11"/>
        <rFont val="Arial"/>
        <family val="2"/>
      </rPr>
      <t xml:space="preserve"> capacitance meeting the low frequency  ripple and hold-up time constraints (*)</t>
    </r>
  </si>
  <si>
    <t>Maximum current flowing through L</t>
  </si>
  <si>
    <t>Maximum rms current through L</t>
  </si>
  <si>
    <t>Calculated L inductance allowing the full power delivery (maximum inductance value)</t>
  </si>
  <si>
    <r>
      <t>Do not forget to check C</t>
    </r>
    <r>
      <rPr>
        <b/>
        <vertAlign val="subscript"/>
        <sz val="10"/>
        <rFont val="Arial"/>
        <family val="2"/>
      </rPr>
      <t>bulk</t>
    </r>
    <r>
      <rPr>
        <b/>
        <sz val="10"/>
        <rFont val="Arial"/>
        <family val="2"/>
      </rPr>
      <t xml:space="preserve"> ESR is low enough to avoid over-heating of the bulk capacitor.</t>
    </r>
  </si>
  <si>
    <t>You can use 1.1A to assess its rms current (estimation based on AND8123 equation).</t>
  </si>
  <si>
    <r>
      <t>Double check on the bench possible C</t>
    </r>
    <r>
      <rPr>
        <b/>
        <vertAlign val="subscript"/>
        <sz val="10"/>
        <rFont val="Arial"/>
        <family val="2"/>
      </rPr>
      <t xml:space="preserve">bulk </t>
    </r>
    <r>
      <rPr>
        <b/>
        <sz val="10"/>
        <rFont val="Arial"/>
        <family val="2"/>
      </rPr>
      <t>over-heating.</t>
    </r>
  </si>
  <si>
    <t xml:space="preserve">Feedback resistors </t>
  </si>
  <si>
    <t>Calculated value of CSZCD pin resistor connected to the Drain of the Power Mosfet</t>
  </si>
  <si>
    <t>Your selection  of CSZCD pin resistor connected to the Drain of the Power Mosfet</t>
  </si>
  <si>
    <t xml:space="preserve">Calculated value of resistor connected between the CSZCD bridge and CSZCD pin </t>
  </si>
  <si>
    <t xml:space="preserve">CSZCD pin  resistors </t>
  </si>
  <si>
    <t>OPTN</t>
  </si>
  <si>
    <t>E</t>
  </si>
  <si>
    <t>A</t>
  </si>
  <si>
    <t>B</t>
  </si>
  <si>
    <t>C</t>
  </si>
  <si>
    <t>D</t>
  </si>
  <si>
    <t>F</t>
  </si>
  <si>
    <t>G</t>
  </si>
  <si>
    <t>H</t>
  </si>
  <si>
    <t>I</t>
  </si>
  <si>
    <t>Your selection of compensation capacitor placed between VCTRL pin and GND</t>
  </si>
  <si>
    <t>( ° )</t>
  </si>
  <si>
    <t>DC gain of the Control To Output transfer function (Plant)</t>
  </si>
  <si>
    <t>Typical line rms voltage under which the Low Line (LL)  flag is activated</t>
  </si>
  <si>
    <t>Typical line rms voltage above which the Low Line (HL)  flag is activated</t>
  </si>
  <si>
    <t>High Line and Low Line Detection</t>
  </si>
  <si>
    <t xml:space="preserve">Line Brown-out thresholds values </t>
  </si>
  <si>
    <t>Typical line rms voltage above which switching is actived (Brown-in)  (if activated in product option)</t>
  </si>
  <si>
    <t>Typical line rms voltage under which switching is stop (Brown-out) (if activated in product option)</t>
  </si>
  <si>
    <t>Internal coefficient</t>
  </si>
  <si>
    <t>V_REF_DT</t>
  </si>
  <si>
    <t>T_ON_max_LL</t>
  </si>
  <si>
    <t>T_ON_max_HL</t>
  </si>
  <si>
    <t>CrM to DCM  threshold</t>
  </si>
  <si>
    <t>VCTRL pin   CrM to DCM threshold voltage (Product option, OPTN parameter dependent)</t>
  </si>
  <si>
    <t>Undervoltage Protection (UVP)</t>
  </si>
  <si>
    <t>Second Over-Voltage Protection (OVP2)</t>
  </si>
  <si>
    <t>Rsense calculation</t>
  </si>
  <si>
    <r>
      <t>Typical under-voltage protection on bulk capacitor voltage (V</t>
    </r>
    <r>
      <rPr>
        <b/>
        <vertAlign val="subscript"/>
        <sz val="11"/>
        <rFont val="Arial"/>
        <family val="2"/>
      </rPr>
      <t>bulk</t>
    </r>
    <r>
      <rPr>
        <b/>
        <sz val="11"/>
        <rFont val="Arial"/>
        <family val="2"/>
      </rPr>
      <t xml:space="preserve"> rising)</t>
    </r>
  </si>
  <si>
    <r>
      <t>Typical under-voltage protection on bulk capacitor voltage (V</t>
    </r>
    <r>
      <rPr>
        <b/>
        <vertAlign val="subscript"/>
        <sz val="11"/>
        <rFont val="Arial"/>
        <family val="2"/>
      </rPr>
      <t>bulk</t>
    </r>
    <r>
      <rPr>
        <b/>
        <sz val="11"/>
        <rFont val="Arial"/>
        <family val="2"/>
      </rPr>
      <t xml:space="preserve"> falling)</t>
    </r>
  </si>
  <si>
    <r>
      <t>Typical second over-voltage protection (OVP2)  on bulk capacitor voltage (V</t>
    </r>
    <r>
      <rPr>
        <b/>
        <vertAlign val="subscript"/>
        <sz val="11"/>
        <rFont val="Arial"/>
        <family val="2"/>
      </rPr>
      <t>bulk</t>
    </r>
    <r>
      <rPr>
        <b/>
        <sz val="11"/>
        <rFont val="Arial"/>
        <family val="2"/>
      </rPr>
      <t xml:space="preserve"> rising)</t>
    </r>
  </si>
  <si>
    <r>
      <t>Typical second over-voltage protection (OVP2)  on bulk capacitor voltage (V</t>
    </r>
    <r>
      <rPr>
        <b/>
        <vertAlign val="subscript"/>
        <sz val="11"/>
        <rFont val="Arial"/>
        <family val="2"/>
      </rPr>
      <t>bulk</t>
    </r>
    <r>
      <rPr>
        <b/>
        <sz val="11"/>
        <rFont val="Arial"/>
        <family val="2"/>
      </rPr>
      <t xml:space="preserve"> falling)</t>
    </r>
  </si>
  <si>
    <t>Your selection of current sense resistor</t>
  </si>
  <si>
    <t>Option</t>
  </si>
  <si>
    <t>Lookup Table (parameters internal to the IC , do not modify)</t>
  </si>
  <si>
    <t>Maximum Current-Sense Resistor</t>
  </si>
  <si>
    <t>NCP1602  Design Tool for an application not using Auxilliary winding for ZCD detection</t>
  </si>
  <si>
    <t>NCP1602  Design Tool for an application using Auxilliary Winding for ZCD detection</t>
  </si>
  <si>
    <t>Application  schematic</t>
  </si>
  <si>
    <t>NA</t>
  </si>
  <si>
    <r>
      <t>f</t>
    </r>
    <r>
      <rPr>
        <vertAlign val="subscript"/>
        <sz val="18"/>
        <rFont val="Arial"/>
        <family val="2"/>
      </rPr>
      <t>ac</t>
    </r>
  </si>
  <si>
    <r>
      <t>V</t>
    </r>
    <r>
      <rPr>
        <vertAlign val="subscript"/>
        <sz val="18"/>
        <rFont val="Arial"/>
        <family val="2"/>
      </rPr>
      <t>out,nom</t>
    </r>
  </si>
  <si>
    <r>
      <t>P</t>
    </r>
    <r>
      <rPr>
        <vertAlign val="subscript"/>
        <sz val="18"/>
        <rFont val="Arial"/>
        <family val="2"/>
      </rPr>
      <t>out</t>
    </r>
  </si>
  <si>
    <r>
      <t>R</t>
    </r>
    <r>
      <rPr>
        <vertAlign val="subscript"/>
        <sz val="18"/>
        <rFont val="Arial"/>
        <family val="2"/>
      </rPr>
      <t>DS(on)</t>
    </r>
  </si>
  <si>
    <r>
      <t>T</t>
    </r>
    <r>
      <rPr>
        <vertAlign val="subscript"/>
        <sz val="18"/>
        <rFont val="Arial"/>
        <family val="2"/>
      </rPr>
      <t>hold-up</t>
    </r>
  </si>
  <si>
    <r>
      <t>V</t>
    </r>
    <r>
      <rPr>
        <vertAlign val="subscript"/>
        <sz val="18"/>
        <rFont val="Arial"/>
        <family val="2"/>
      </rPr>
      <t>out,min</t>
    </r>
  </si>
  <si>
    <r>
      <rPr>
        <sz val="18"/>
        <rFont val="Calibri"/>
        <family val="2"/>
      </rPr>
      <t>Δ</t>
    </r>
    <r>
      <rPr>
        <sz val="18"/>
        <rFont val="Arial"/>
        <family val="2"/>
      </rPr>
      <t>V</t>
    </r>
    <r>
      <rPr>
        <vertAlign val="subscript"/>
        <sz val="18"/>
        <rFont val="Arial"/>
        <family val="2"/>
      </rPr>
      <t>pk-pk</t>
    </r>
  </si>
  <si>
    <r>
      <t>F</t>
    </r>
    <r>
      <rPr>
        <vertAlign val="subscript"/>
        <sz val="18"/>
        <rFont val="Arial"/>
        <family val="2"/>
      </rPr>
      <t>c</t>
    </r>
  </si>
  <si>
    <r>
      <rPr>
        <sz val="18"/>
        <rFont val="Calibri"/>
        <family val="2"/>
      </rPr>
      <t>ф</t>
    </r>
    <r>
      <rPr>
        <b/>
        <vertAlign val="subscript"/>
        <sz val="18"/>
        <rFont val="Calibri"/>
        <family val="2"/>
      </rPr>
      <t>m</t>
    </r>
  </si>
  <si>
    <r>
      <t>t</t>
    </r>
    <r>
      <rPr>
        <vertAlign val="subscript"/>
        <sz val="18"/>
        <rFont val="Arial"/>
        <family val="2"/>
      </rPr>
      <t>ON,max</t>
    </r>
  </si>
  <si>
    <r>
      <t>C</t>
    </r>
    <r>
      <rPr>
        <vertAlign val="subscript"/>
        <sz val="18"/>
        <rFont val="Arial"/>
        <family val="2"/>
      </rPr>
      <t>bulk,min</t>
    </r>
  </si>
  <si>
    <r>
      <t>C</t>
    </r>
    <r>
      <rPr>
        <vertAlign val="subscript"/>
        <sz val="18"/>
        <rFont val="Arial"/>
        <family val="2"/>
      </rPr>
      <t>bulk</t>
    </r>
  </si>
  <si>
    <r>
      <t>L</t>
    </r>
    <r>
      <rPr>
        <vertAlign val="subscript"/>
        <sz val="18"/>
        <rFont val="Arial"/>
        <family val="2"/>
      </rPr>
      <t>calc</t>
    </r>
  </si>
  <si>
    <r>
      <t>I</t>
    </r>
    <r>
      <rPr>
        <vertAlign val="subscript"/>
        <sz val="18"/>
        <rFont val="Arial"/>
        <family val="2"/>
      </rPr>
      <t>L,max</t>
    </r>
  </si>
  <si>
    <r>
      <t>I</t>
    </r>
    <r>
      <rPr>
        <vertAlign val="subscript"/>
        <sz val="18"/>
        <rFont val="Arial"/>
        <family val="2"/>
      </rPr>
      <t>L,rms</t>
    </r>
  </si>
  <si>
    <r>
      <t>F</t>
    </r>
    <r>
      <rPr>
        <vertAlign val="subscript"/>
        <sz val="18"/>
        <rFont val="Arial"/>
        <family val="2"/>
      </rPr>
      <t>sw,max</t>
    </r>
  </si>
  <si>
    <r>
      <t>N</t>
    </r>
    <r>
      <rPr>
        <vertAlign val="subscript"/>
        <sz val="18"/>
        <rFont val="Arial"/>
        <family val="2"/>
      </rPr>
      <t>p</t>
    </r>
    <r>
      <rPr>
        <sz val="18"/>
        <rFont val="Arial"/>
        <family val="2"/>
      </rPr>
      <t>/N</t>
    </r>
    <r>
      <rPr>
        <vertAlign val="subscript"/>
        <sz val="18"/>
        <rFont val="Arial"/>
        <family val="2"/>
      </rPr>
      <t>aux</t>
    </r>
  </si>
  <si>
    <r>
      <t>R</t>
    </r>
    <r>
      <rPr>
        <vertAlign val="subscript"/>
        <sz val="18"/>
        <rFont val="Arial"/>
        <family val="2"/>
      </rPr>
      <t>fb2</t>
    </r>
  </si>
  <si>
    <r>
      <t>R</t>
    </r>
    <r>
      <rPr>
        <vertAlign val="subscript"/>
        <sz val="18"/>
        <rFont val="Arial"/>
        <family val="2"/>
      </rPr>
      <t>fb1,calc</t>
    </r>
  </si>
  <si>
    <r>
      <t>R</t>
    </r>
    <r>
      <rPr>
        <vertAlign val="subscript"/>
        <sz val="18"/>
        <rFont val="Arial"/>
        <family val="2"/>
      </rPr>
      <t>fb1</t>
    </r>
  </si>
  <si>
    <r>
      <t>R</t>
    </r>
    <r>
      <rPr>
        <vertAlign val="subscript"/>
        <sz val="18"/>
        <rFont val="Arial"/>
        <family val="2"/>
      </rPr>
      <t>CS2</t>
    </r>
  </si>
  <si>
    <r>
      <t>R</t>
    </r>
    <r>
      <rPr>
        <vertAlign val="subscript"/>
        <sz val="18"/>
        <rFont val="Arial"/>
        <family val="2"/>
      </rPr>
      <t>CS1,calc</t>
    </r>
  </si>
  <si>
    <r>
      <t>R</t>
    </r>
    <r>
      <rPr>
        <vertAlign val="subscript"/>
        <sz val="18"/>
        <rFont val="Arial"/>
        <family val="2"/>
      </rPr>
      <t>CS1</t>
    </r>
  </si>
  <si>
    <r>
      <t>K</t>
    </r>
    <r>
      <rPr>
        <vertAlign val="subscript"/>
        <sz val="18"/>
        <rFont val="Arial"/>
        <family val="2"/>
      </rPr>
      <t>CS</t>
    </r>
  </si>
  <si>
    <r>
      <t>C</t>
    </r>
    <r>
      <rPr>
        <vertAlign val="subscript"/>
        <sz val="18"/>
        <rFont val="Arial"/>
        <family val="2"/>
      </rPr>
      <t>CS</t>
    </r>
  </si>
  <si>
    <r>
      <t>R</t>
    </r>
    <r>
      <rPr>
        <vertAlign val="subscript"/>
        <sz val="18"/>
        <rFont val="Arial"/>
        <family val="2"/>
      </rPr>
      <t>CS0,calc</t>
    </r>
  </si>
  <si>
    <r>
      <t>R</t>
    </r>
    <r>
      <rPr>
        <vertAlign val="subscript"/>
        <sz val="18"/>
        <rFont val="Arial"/>
        <family val="2"/>
      </rPr>
      <t>CS0</t>
    </r>
  </si>
  <si>
    <r>
      <t>C</t>
    </r>
    <r>
      <rPr>
        <vertAlign val="subscript"/>
        <sz val="18"/>
        <rFont val="Arial"/>
        <family val="2"/>
      </rPr>
      <t>p,calc</t>
    </r>
  </si>
  <si>
    <r>
      <t>C</t>
    </r>
    <r>
      <rPr>
        <vertAlign val="subscript"/>
        <sz val="18"/>
        <rFont val="Arial"/>
        <family val="2"/>
      </rPr>
      <t>p</t>
    </r>
  </si>
  <si>
    <r>
      <t>C</t>
    </r>
    <r>
      <rPr>
        <vertAlign val="subscript"/>
        <sz val="18"/>
        <rFont val="Arial"/>
        <family val="2"/>
      </rPr>
      <t>z,calc</t>
    </r>
  </si>
  <si>
    <r>
      <t>C</t>
    </r>
    <r>
      <rPr>
        <vertAlign val="subscript"/>
        <sz val="18"/>
        <rFont val="Arial"/>
        <family val="2"/>
      </rPr>
      <t>z</t>
    </r>
  </si>
  <si>
    <r>
      <t>R</t>
    </r>
    <r>
      <rPr>
        <vertAlign val="subscript"/>
        <sz val="18"/>
        <rFont val="Arial"/>
        <family val="2"/>
      </rPr>
      <t>z,calc</t>
    </r>
  </si>
  <si>
    <r>
      <t>R</t>
    </r>
    <r>
      <rPr>
        <vertAlign val="subscript"/>
        <sz val="18"/>
        <rFont val="Arial"/>
        <family val="2"/>
      </rPr>
      <t>z</t>
    </r>
  </si>
  <si>
    <r>
      <t>f</t>
    </r>
    <r>
      <rPr>
        <vertAlign val="subscript"/>
        <sz val="18"/>
        <rFont val="Arial"/>
        <family val="2"/>
      </rPr>
      <t>p0</t>
    </r>
  </si>
  <si>
    <r>
      <t>f</t>
    </r>
    <r>
      <rPr>
        <vertAlign val="subscript"/>
        <sz val="18"/>
        <rFont val="Arial"/>
        <family val="2"/>
      </rPr>
      <t>z</t>
    </r>
  </si>
  <si>
    <r>
      <t>f</t>
    </r>
    <r>
      <rPr>
        <vertAlign val="subscript"/>
        <sz val="18"/>
        <rFont val="Arial"/>
        <family val="2"/>
      </rPr>
      <t>p</t>
    </r>
  </si>
  <si>
    <r>
      <t>G</t>
    </r>
    <r>
      <rPr>
        <vertAlign val="subscript"/>
        <sz val="18"/>
        <rFont val="Arial"/>
        <family val="2"/>
      </rPr>
      <t>0</t>
    </r>
  </si>
  <si>
    <r>
      <t>F</t>
    </r>
    <r>
      <rPr>
        <vertAlign val="subscript"/>
        <sz val="18"/>
        <rFont val="Arial"/>
        <family val="2"/>
      </rPr>
      <t>c,final</t>
    </r>
  </si>
  <si>
    <r>
      <rPr>
        <sz val="18"/>
        <rFont val="Calibri"/>
        <family val="2"/>
      </rPr>
      <t>ф</t>
    </r>
    <r>
      <rPr>
        <b/>
        <vertAlign val="subscript"/>
        <sz val="18"/>
        <rFont val="Calibri"/>
        <family val="2"/>
      </rPr>
      <t>m,final</t>
    </r>
  </si>
  <si>
    <r>
      <t>V</t>
    </r>
    <r>
      <rPr>
        <vertAlign val="subscript"/>
        <sz val="18"/>
        <rFont val="Arial"/>
        <family val="2"/>
      </rPr>
      <t>CTRL,DT,th</t>
    </r>
  </si>
  <si>
    <r>
      <t>V</t>
    </r>
    <r>
      <rPr>
        <vertAlign val="subscript"/>
        <sz val="18"/>
        <rFont val="Arial"/>
        <family val="2"/>
      </rPr>
      <t>bulk,UVP,H</t>
    </r>
  </si>
  <si>
    <r>
      <t>V</t>
    </r>
    <r>
      <rPr>
        <vertAlign val="subscript"/>
        <sz val="18"/>
        <rFont val="Arial"/>
        <family val="2"/>
      </rPr>
      <t>bulk,UVP,L</t>
    </r>
  </si>
  <si>
    <r>
      <t>V</t>
    </r>
    <r>
      <rPr>
        <vertAlign val="subscript"/>
        <sz val="18"/>
        <rFont val="Arial"/>
        <family val="2"/>
      </rPr>
      <t>bulk,OVP2,H</t>
    </r>
  </si>
  <si>
    <r>
      <t>V</t>
    </r>
    <r>
      <rPr>
        <vertAlign val="subscript"/>
        <sz val="18"/>
        <rFont val="Arial"/>
        <family val="2"/>
      </rPr>
      <t>bulk,OVP2,L</t>
    </r>
  </si>
  <si>
    <r>
      <t>R</t>
    </r>
    <r>
      <rPr>
        <vertAlign val="subscript"/>
        <sz val="18"/>
        <rFont val="Arial"/>
        <family val="2"/>
      </rPr>
      <t>sense,calc</t>
    </r>
  </si>
  <si>
    <r>
      <t>R</t>
    </r>
    <r>
      <rPr>
        <vertAlign val="subscript"/>
        <sz val="18"/>
        <rFont val="Arial"/>
        <family val="2"/>
      </rPr>
      <t>sense</t>
    </r>
  </si>
  <si>
    <r>
      <t>(</t>
    </r>
    <r>
      <rPr>
        <sz val="18"/>
        <rFont val="Calibri"/>
        <family val="2"/>
      </rPr>
      <t>Ω)</t>
    </r>
  </si>
  <si>
    <r>
      <t>(</t>
    </r>
    <r>
      <rPr>
        <sz val="18"/>
        <rFont val="Calibri"/>
        <family val="2"/>
      </rPr>
      <t>μ</t>
    </r>
    <r>
      <rPr>
        <sz val="18"/>
        <rFont val="Arial"/>
        <family val="2"/>
      </rPr>
      <t>s)</t>
    </r>
  </si>
  <si>
    <r>
      <t>(</t>
    </r>
    <r>
      <rPr>
        <sz val="18"/>
        <rFont val="Calibri"/>
        <family val="2"/>
      </rPr>
      <t>μ</t>
    </r>
    <r>
      <rPr>
        <sz val="18"/>
        <rFont val="Arial"/>
        <family val="2"/>
      </rPr>
      <t>F)</t>
    </r>
  </si>
  <si>
    <r>
      <t>(</t>
    </r>
    <r>
      <rPr>
        <sz val="18"/>
        <rFont val="Calibri"/>
        <family val="2"/>
      </rPr>
      <t>μ</t>
    </r>
    <r>
      <rPr>
        <sz val="18"/>
        <rFont val="Arial"/>
        <family val="2"/>
      </rPr>
      <t>H)</t>
    </r>
  </si>
  <si>
    <r>
      <t>(k</t>
    </r>
    <r>
      <rPr>
        <sz val="18"/>
        <rFont val="Calibri"/>
        <family val="2"/>
      </rPr>
      <t>Ω)</t>
    </r>
  </si>
  <si>
    <r>
      <t>(m</t>
    </r>
    <r>
      <rPr>
        <sz val="18"/>
        <rFont val="Calibri"/>
        <family val="2"/>
      </rPr>
      <t>Ω)</t>
    </r>
  </si>
  <si>
    <r>
      <t>CSZCD pin  resistors  (depends heavily on N</t>
    </r>
    <r>
      <rPr>
        <b/>
        <vertAlign val="subscript"/>
        <sz val="18"/>
        <rFont val="Arial"/>
        <family val="2"/>
      </rPr>
      <t>p</t>
    </r>
    <r>
      <rPr>
        <b/>
        <sz val="18"/>
        <rFont val="Arial"/>
        <family val="2"/>
      </rPr>
      <t>/N</t>
    </r>
    <r>
      <rPr>
        <b/>
        <vertAlign val="subscript"/>
        <sz val="18"/>
        <rFont val="Arial"/>
        <family val="2"/>
      </rPr>
      <t>aux</t>
    </r>
    <r>
      <rPr>
        <b/>
        <sz val="18"/>
        <rFont val="Arial"/>
        <family val="2"/>
      </rPr>
      <t xml:space="preserve"> value )</t>
    </r>
  </si>
  <si>
    <r>
      <t>P</t>
    </r>
    <r>
      <rPr>
        <vertAlign val="subscript"/>
        <sz val="18"/>
        <rFont val="Arial"/>
        <family val="2"/>
      </rPr>
      <t>bridge</t>
    </r>
  </si>
  <si>
    <t>Diode bridge losses assuming a 1-V forward voltage for each diode</t>
  </si>
  <si>
    <r>
      <t>P</t>
    </r>
    <r>
      <rPr>
        <vertAlign val="subscript"/>
        <sz val="18"/>
        <rFont val="Arial"/>
        <family val="2"/>
      </rPr>
      <t>on,Q1</t>
    </r>
  </si>
  <si>
    <r>
      <t>Q1 conduction losses assuming R</t>
    </r>
    <r>
      <rPr>
        <b/>
        <vertAlign val="subscript"/>
        <sz val="11"/>
        <rFont val="Arial"/>
        <family val="2"/>
      </rPr>
      <t>DS(on</t>
    </r>
    <r>
      <rPr>
        <b/>
        <sz val="11"/>
        <rFont val="Arial"/>
        <family val="2"/>
      </rPr>
      <t>) doubles at the highest junction temperature of your application</t>
    </r>
  </si>
  <si>
    <r>
      <t>P</t>
    </r>
    <r>
      <rPr>
        <vertAlign val="subscript"/>
        <sz val="18"/>
        <rFont val="Arial"/>
        <family val="2"/>
      </rPr>
      <t>D1</t>
    </r>
  </si>
  <si>
    <t>Losses in boost diode D1 assuming a 1-V forward voltage</t>
  </si>
  <si>
    <r>
      <t>P</t>
    </r>
    <r>
      <rPr>
        <vertAlign val="subscript"/>
        <sz val="18"/>
        <rFont val="Arial"/>
        <family val="2"/>
      </rPr>
      <t>Rsense</t>
    </r>
  </si>
  <si>
    <t xml:space="preserve">Rsense conduction losses </t>
  </si>
  <si>
    <r>
      <t>P</t>
    </r>
    <r>
      <rPr>
        <vertAlign val="subscript"/>
        <sz val="18"/>
        <rFont val="Arial"/>
        <family val="2"/>
      </rPr>
      <t>CS,STDBY,max</t>
    </r>
  </si>
  <si>
    <t>Power dissipated by CSZCD resistors in standby mode and max mains voltage</t>
  </si>
  <si>
    <r>
      <t>Your C</t>
    </r>
    <r>
      <rPr>
        <b/>
        <i/>
        <vertAlign val="subscript"/>
        <sz val="11"/>
        <rFont val="Arial"/>
        <family val="2"/>
      </rPr>
      <t>bulk</t>
    </r>
    <r>
      <rPr>
        <b/>
        <i/>
        <sz val="11"/>
        <rFont val="Arial"/>
        <family val="2"/>
      </rPr>
      <t xml:space="preserve"> selection choosen using normalized values from the drop down menu </t>
    </r>
  </si>
  <si>
    <r>
      <t>I</t>
    </r>
    <r>
      <rPr>
        <vertAlign val="subscript"/>
        <sz val="18"/>
        <rFont val="Arial"/>
        <family val="2"/>
      </rPr>
      <t>Cbulk,rms,max</t>
    </r>
  </si>
  <si>
    <t>Ac line rms lowest level (generally 85 V or 90 V in wide mains application)</t>
  </si>
  <si>
    <t>Ac line rms highest level (generally 265 V  in wide or European  mains application)</t>
  </si>
  <si>
    <t>Targeted regulation level for the output voltage (generally 390 V or 400 V in wide mains apps)</t>
  </si>
  <si>
    <t>Expected efficiency at low line, full load - use 94 % as a default value if you don't know</t>
  </si>
  <si>
    <t>MOSFET on-time resistance @25 °C</t>
  </si>
  <si>
    <r>
      <t>Peak to peak low frequency ripple acceptable across the bulk capacitor as a percentage of V</t>
    </r>
    <r>
      <rPr>
        <b/>
        <i/>
        <vertAlign val="subscript"/>
        <sz val="11"/>
        <rFont val="Arial"/>
        <family val="2"/>
      </rPr>
      <t>out,nom</t>
    </r>
    <r>
      <rPr>
        <b/>
        <i/>
        <sz val="11"/>
        <rFont val="Arial"/>
        <family val="2"/>
      </rPr>
      <t>. Choose 7 % if you don't know.</t>
    </r>
  </si>
  <si>
    <r>
      <t>Phase margin @ V</t>
    </r>
    <r>
      <rPr>
        <b/>
        <i/>
        <vertAlign val="subscript"/>
        <sz val="11"/>
        <rFont val="Arial"/>
        <family val="2"/>
      </rPr>
      <t>acLL</t>
    </r>
    <r>
      <rPr>
        <b/>
        <i/>
        <sz val="11"/>
        <rFont val="Arial"/>
        <family val="2"/>
      </rPr>
      <t>, full load. You can use 60 ° by default</t>
    </r>
  </si>
  <si>
    <r>
      <t>Your inductance choice. It is recommended to select it at least  25 % lower than L</t>
    </r>
    <r>
      <rPr>
        <b/>
        <i/>
        <vertAlign val="subscript"/>
        <sz val="11"/>
        <rFont val="Arial"/>
        <family val="2"/>
      </rPr>
      <t>calc</t>
    </r>
    <r>
      <rPr>
        <b/>
        <i/>
        <sz val="11"/>
        <rFont val="Arial"/>
        <family val="2"/>
      </rPr>
      <t xml:space="preserve"> for an healthy margin</t>
    </r>
  </si>
  <si>
    <r>
      <t>Your selection of  feedback resistor value  connected between FB pin and GND pin  (Maximum value allowed is 50 k</t>
    </r>
    <r>
      <rPr>
        <b/>
        <sz val="11"/>
        <rFont val="Calibri"/>
        <family val="2"/>
      </rPr>
      <t>Ω</t>
    </r>
    <r>
      <rPr>
        <b/>
        <i/>
        <sz val="11"/>
        <rFont val="Arial"/>
        <family val="2"/>
      </rPr>
      <t>)</t>
    </r>
  </si>
  <si>
    <r>
      <t>Calculated value of feedbcak resistor placed between  FB pin and C</t>
    </r>
    <r>
      <rPr>
        <b/>
        <vertAlign val="subscript"/>
        <sz val="11"/>
        <rFont val="Arial"/>
        <family val="2"/>
      </rPr>
      <t>bulk</t>
    </r>
    <r>
      <rPr>
        <b/>
        <sz val="11"/>
        <rFont val="Arial"/>
        <family val="2"/>
      </rPr>
      <t xml:space="preserve"> positive pin.</t>
    </r>
  </si>
  <si>
    <r>
      <t>Your selection  value of feedbcak resistor placed between  FB pin and C</t>
    </r>
    <r>
      <rPr>
        <b/>
        <vertAlign val="subscript"/>
        <sz val="11"/>
        <rFont val="Arial"/>
        <family val="2"/>
      </rPr>
      <t>bulk</t>
    </r>
    <r>
      <rPr>
        <b/>
        <sz val="11"/>
        <rFont val="Arial"/>
        <family val="2"/>
      </rPr>
      <t xml:space="preserve"> positive pin.</t>
    </r>
  </si>
  <si>
    <r>
      <t>Your selection of  CSZCD pin resistor  connected to the Power Mosfet source  (Miminum value allowed is 20 k</t>
    </r>
    <r>
      <rPr>
        <b/>
        <sz val="11"/>
        <rFont val="Calibri"/>
        <family val="2"/>
      </rPr>
      <t>Ω</t>
    </r>
    <r>
      <rPr>
        <b/>
        <i/>
        <sz val="11"/>
        <rFont val="Arial"/>
        <family val="2"/>
      </rPr>
      <t>)</t>
    </r>
  </si>
  <si>
    <t>Parasitic capacitance of TSOP6 package  between CSZCD pin and GND (10 pF is the recommended value)</t>
  </si>
  <si>
    <r>
      <t>Frequency of the origin pole obtained with choosen C</t>
    </r>
    <r>
      <rPr>
        <b/>
        <vertAlign val="subscript"/>
        <sz val="11"/>
        <rFont val="Arial"/>
        <family val="2"/>
      </rPr>
      <t xml:space="preserve">z </t>
    </r>
    <r>
      <rPr>
        <b/>
        <sz val="11"/>
        <rFont val="Arial"/>
        <family val="2"/>
      </rPr>
      <t>and C</t>
    </r>
    <r>
      <rPr>
        <b/>
        <vertAlign val="subscript"/>
        <sz val="11"/>
        <rFont val="Arial"/>
        <family val="2"/>
      </rPr>
      <t>p</t>
    </r>
    <r>
      <rPr>
        <b/>
        <sz val="11"/>
        <rFont val="Arial"/>
        <family val="2"/>
      </rPr>
      <t xml:space="preserve"> values</t>
    </r>
  </si>
  <si>
    <r>
      <t>Frequency of the zero obtained with choosen C</t>
    </r>
    <r>
      <rPr>
        <b/>
        <vertAlign val="subscript"/>
        <sz val="11"/>
        <rFont val="Arial"/>
        <family val="2"/>
      </rPr>
      <t>z</t>
    </r>
    <r>
      <rPr>
        <b/>
        <sz val="11"/>
        <rFont val="Arial"/>
        <family val="2"/>
      </rPr>
      <t xml:space="preserve"> and R</t>
    </r>
    <r>
      <rPr>
        <b/>
        <vertAlign val="subscript"/>
        <sz val="11"/>
        <rFont val="Arial"/>
        <family val="2"/>
      </rPr>
      <t>z</t>
    </r>
    <r>
      <rPr>
        <b/>
        <sz val="11"/>
        <rFont val="Arial"/>
        <family val="2"/>
      </rPr>
      <t xml:space="preserve"> values</t>
    </r>
  </si>
  <si>
    <r>
      <t>Frequency of high frequency pole obtained with choosen C</t>
    </r>
    <r>
      <rPr>
        <b/>
        <vertAlign val="subscript"/>
        <sz val="11"/>
        <rFont val="Arial"/>
        <family val="2"/>
      </rPr>
      <t>p</t>
    </r>
    <r>
      <rPr>
        <b/>
        <sz val="11"/>
        <rFont val="Arial"/>
        <family val="2"/>
      </rPr>
      <t>, C</t>
    </r>
    <r>
      <rPr>
        <b/>
        <vertAlign val="subscript"/>
        <sz val="11"/>
        <rFont val="Arial"/>
        <family val="2"/>
      </rPr>
      <t>z</t>
    </r>
    <r>
      <rPr>
        <b/>
        <sz val="11"/>
        <rFont val="Arial"/>
        <family val="2"/>
      </rPr>
      <t xml:space="preserve"> and R</t>
    </r>
    <r>
      <rPr>
        <b/>
        <vertAlign val="subscript"/>
        <sz val="11"/>
        <rFont val="Arial"/>
        <family val="2"/>
      </rPr>
      <t>z</t>
    </r>
  </si>
  <si>
    <r>
      <t>V</t>
    </r>
    <r>
      <rPr>
        <vertAlign val="subscript"/>
        <sz val="18"/>
        <rFont val="Arial"/>
        <family val="2"/>
      </rPr>
      <t>rms,LL</t>
    </r>
  </si>
  <si>
    <r>
      <t>V</t>
    </r>
    <r>
      <rPr>
        <vertAlign val="subscript"/>
        <sz val="18"/>
        <rFont val="Arial"/>
        <family val="2"/>
      </rPr>
      <t>rms,HL</t>
    </r>
  </si>
  <si>
    <r>
      <t>V</t>
    </r>
    <r>
      <rPr>
        <vertAlign val="subscript"/>
        <sz val="18"/>
        <rFont val="Arial"/>
        <family val="2"/>
      </rPr>
      <t>rms,LL,th</t>
    </r>
  </si>
  <si>
    <r>
      <t>V</t>
    </r>
    <r>
      <rPr>
        <vertAlign val="subscript"/>
        <sz val="18"/>
        <rFont val="Arial"/>
        <family val="2"/>
      </rPr>
      <t>rms,HL,th</t>
    </r>
  </si>
  <si>
    <r>
      <t>V</t>
    </r>
    <r>
      <rPr>
        <vertAlign val="subscript"/>
        <sz val="18"/>
        <rFont val="Arial"/>
        <family val="2"/>
      </rPr>
      <t>rms,boH,th</t>
    </r>
  </si>
  <si>
    <r>
      <t>V</t>
    </r>
    <r>
      <rPr>
        <vertAlign val="subscript"/>
        <sz val="18"/>
        <rFont val="Arial"/>
        <family val="2"/>
      </rPr>
      <t>rms,boL,th</t>
    </r>
  </si>
  <si>
    <t>NCP1602 Internal parameters (frozen)</t>
  </si>
  <si>
    <t>Minimum of maximum on-time in low line (LL) condition depending on product Option (set in D47) (0.8 times the typical value of  attached table)</t>
  </si>
  <si>
    <t>Freq</t>
  </si>
  <si>
    <t>Plant</t>
  </si>
  <si>
    <t>Compensator</t>
  </si>
  <si>
    <t>Open Loop</t>
  </si>
  <si>
    <t>Plant_dB</t>
  </si>
  <si>
    <t>Plant_deg</t>
  </si>
  <si>
    <t>Plots of Small Signal Transfer Functions</t>
  </si>
  <si>
    <t>Calculations for AC Plots (do not modify)</t>
  </si>
  <si>
    <t>Compensator_dB</t>
  </si>
  <si>
    <t>Compensator_deg</t>
  </si>
  <si>
    <t>Open Loop_dB</t>
  </si>
  <si>
    <t>Open Loop_deg</t>
  </si>
  <si>
    <t>@</t>
  </si>
  <si>
    <t>(Note1: Load is assumed purely resistive)</t>
  </si>
  <si>
    <t>(Note2: Low line minimum voltage is used)</t>
  </si>
  <si>
    <r>
      <t xml:space="preserve">Line Brown-out thresholds values </t>
    </r>
    <r>
      <rPr>
        <b/>
        <sz val="18"/>
        <color indexed="10"/>
        <rFont val="Arial"/>
        <family val="2"/>
      </rPr>
      <t xml:space="preserve"> </t>
    </r>
    <r>
      <rPr>
        <b/>
        <sz val="14"/>
        <color indexed="10"/>
        <rFont val="Arial"/>
        <family val="2"/>
      </rPr>
      <t>(There is NO brown-out functionality when Auxiliary winding is used for ZCD)</t>
    </r>
  </si>
  <si>
    <r>
      <t>P</t>
    </r>
    <r>
      <rPr>
        <vertAlign val="subscript"/>
        <sz val="22"/>
        <rFont val="Arial"/>
        <family val="2"/>
      </rPr>
      <t xml:space="preserve">out  </t>
    </r>
    <r>
      <rPr>
        <sz val="22"/>
        <rFont val="Arial"/>
        <family val="2"/>
      </rPr>
      <t xml:space="preserve"> =</t>
    </r>
  </si>
  <si>
    <r>
      <t>V</t>
    </r>
    <r>
      <rPr>
        <vertAlign val="subscript"/>
        <sz val="22"/>
        <rFont val="Arial"/>
        <family val="2"/>
      </rPr>
      <t xml:space="preserve">rms,LL  </t>
    </r>
    <r>
      <rPr>
        <sz val="22"/>
        <rFont val="Arial"/>
        <family val="2"/>
      </rPr>
      <t>=</t>
    </r>
  </si>
  <si>
    <r>
      <t>Please check that the maximum rms current value of the selected C</t>
    </r>
    <r>
      <rPr>
        <b/>
        <i/>
        <vertAlign val="subscript"/>
        <sz val="11"/>
        <rFont val="Arial"/>
        <family val="2"/>
      </rPr>
      <t xml:space="preserve">bulk </t>
    </r>
    <r>
      <rPr>
        <b/>
        <i/>
        <sz val="11"/>
        <rFont val="Arial"/>
        <family val="2"/>
      </rPr>
      <t>datasheet 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</si>
  <si>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r>
      <t>Please check that the maximum rms current value of the selected C</t>
    </r>
    <r>
      <rPr>
        <b/>
        <i/>
        <vertAlign val="subscript"/>
        <sz val="11"/>
        <rFont val="Arial"/>
        <family val="2"/>
      </rPr>
      <t xml:space="preserve">bulk </t>
    </r>
    <r>
      <rPr>
        <b/>
        <i/>
        <sz val="11"/>
        <rFont val="Arial"/>
        <family val="2"/>
      </rPr>
      <t>datasheet</t>
    </r>
    <r>
      <rPr>
        <b/>
        <i/>
        <vertAlign val="subscript"/>
        <sz val="11"/>
        <rFont val="Arial"/>
        <family val="2"/>
      </rPr>
      <t xml:space="preserve"> </t>
    </r>
    <r>
      <rPr>
        <b/>
        <i/>
        <sz val="11"/>
        <rFont val="Arial"/>
        <family val="2"/>
      </rPr>
      <t>exceeds this value (calculated with V</t>
    </r>
    <r>
      <rPr>
        <b/>
        <i/>
        <vertAlign val="subscript"/>
        <sz val="11"/>
        <rFont val="Arial"/>
        <family val="2"/>
      </rPr>
      <t xml:space="preserve">Cbulk </t>
    </r>
    <r>
      <rPr>
        <b/>
        <i/>
        <sz val="11"/>
        <rFont val="Arial"/>
        <family val="2"/>
      </rPr>
      <t>ripple at  2*f</t>
    </r>
    <r>
      <rPr>
        <b/>
        <i/>
        <vertAlign val="subscript"/>
        <sz val="11"/>
        <rFont val="Arial"/>
        <family val="2"/>
      </rPr>
      <t>ac</t>
    </r>
    <r>
      <rPr>
        <b/>
        <i/>
        <sz val="11"/>
        <rFont val="Arial"/>
        <family val="2"/>
      </rPr>
      <t xml:space="preserve"> frequency)</t>
    </r>
  </si>
  <si>
    <t>Product Option (one of the following second-letter of the product code: A,B,C,D,E,F,G,H,I), default code used on EVB is letter E</t>
  </si>
  <si>
    <r>
      <t>f</t>
    </r>
    <r>
      <rPr>
        <vertAlign val="subscript"/>
        <sz val="18"/>
        <rFont val="Arial"/>
        <family val="2"/>
      </rPr>
      <t>plant</t>
    </r>
  </si>
  <si>
    <t xml:space="preserve">Calculated value of compensation capacitor placed between VCTRL pin and GND </t>
  </si>
  <si>
    <t xml:space="preserve">Cells to be filled </t>
  </si>
  <si>
    <t>Final low-line cross-over frequency from plant dc gain,  poles and zeroes frequencies (asymptotic calculation)</t>
  </si>
  <si>
    <r>
      <t>Final phase margin using atan formula, poles and zeroes frequencies (from F</t>
    </r>
    <r>
      <rPr>
        <b/>
        <vertAlign val="subscript"/>
        <sz val="11"/>
        <rFont val="Arial"/>
        <family val="2"/>
      </rPr>
      <t>c,final</t>
    </r>
    <r>
      <rPr>
        <b/>
        <sz val="11"/>
        <rFont val="Arial"/>
        <family val="2"/>
      </rPr>
      <t xml:space="preserve"> which is from asymptotic calculation)</t>
    </r>
  </si>
  <si>
    <r>
      <t>Note: To validate F</t>
    </r>
    <r>
      <rPr>
        <b/>
        <vertAlign val="subscript"/>
        <sz val="12"/>
        <color indexed="12"/>
        <rFont val="Arial"/>
        <family val="2"/>
      </rPr>
      <t>C,final</t>
    </r>
    <r>
      <rPr>
        <b/>
        <sz val="12"/>
        <color indexed="12"/>
        <rFont val="Arial"/>
        <family val="2"/>
      </rPr>
      <t xml:space="preserve"> and </t>
    </r>
    <r>
      <rPr>
        <b/>
        <sz val="12"/>
        <color indexed="12"/>
        <rFont val="Calibri"/>
        <family val="2"/>
      </rPr>
      <t>ф</t>
    </r>
    <r>
      <rPr>
        <b/>
        <vertAlign val="subscript"/>
        <sz val="12"/>
        <color indexed="12"/>
        <rFont val="Arial"/>
        <family val="2"/>
      </rPr>
      <t>m,final</t>
    </r>
    <r>
      <rPr>
        <b/>
        <sz val="12"/>
        <color indexed="12"/>
        <rFont val="Arial"/>
        <family val="2"/>
      </rPr>
      <t xml:space="preserve"> values please have a look at attached Open Loop transfer function Bode Plot which is using accurate formulas</t>
    </r>
  </si>
  <si>
    <t>Your selected turns ratio (It is recommended to select a value around 10 , if no auxiliary winding is used, enter the value 0)</t>
  </si>
  <si>
    <r>
      <t>Your selection of  feedback resistor value  connected between FB pin and GND pin  (Maximum value is 50 k</t>
    </r>
    <r>
      <rPr>
        <b/>
        <sz val="11"/>
        <rFont val="Calibri"/>
        <family val="2"/>
      </rPr>
      <t>Ω</t>
    </r>
    <r>
      <rPr>
        <b/>
        <i/>
        <sz val="11"/>
        <rFont val="Arial"/>
        <family val="2"/>
      </rPr>
      <t>)</t>
    </r>
  </si>
  <si>
    <r>
      <t>Your selection of  CSZCD pin resistor  connected to the Power Mosfet source  (Miminum value  is 20 k</t>
    </r>
    <r>
      <rPr>
        <b/>
        <sz val="11"/>
        <rFont val="Calibri"/>
        <family val="2"/>
      </rPr>
      <t>Ω</t>
    </r>
    <r>
      <rPr>
        <b/>
        <i/>
        <sz val="11"/>
        <rFont val="Arial"/>
        <family val="2"/>
      </rPr>
      <t>)</t>
    </r>
  </si>
  <si>
    <t>Calculated Dividing factor between power mosfet drain and CSZCD pin ( +/- 10 % of 138)</t>
  </si>
  <si>
    <t>Your selected value of resistor connected between the CSZCD bridge and CSZCD pin ( +/- 15 % of calculated value)</t>
  </si>
  <si>
    <t>Your selected value of resistor connected between the CSZCD bridge and CSZCD pin (+/- 15 % of Rcs0,calc)</t>
  </si>
  <si>
    <t>Calculated value of compensation capacitor placed between VCTRL pin and GND and in series with Rz</t>
  </si>
  <si>
    <t>Your selection of compensation capacitor placed between VCTRL pin and GND and in series with Rz</t>
  </si>
  <si>
    <t>Calculated value of compensation resistor placed between VCTRL pin and GND and in series with Cz</t>
  </si>
  <si>
    <t>Your value  selection of compensation resistor placed between VCTRL pin and GND and in series with Cz</t>
  </si>
  <si>
    <r>
      <t>Kg.m</t>
    </r>
    <r>
      <rPr>
        <vertAlign val="superscript"/>
        <sz val="12"/>
        <color indexed="9"/>
        <rFont val="Cambria"/>
        <family val="1"/>
      </rPr>
      <t>2</t>
    </r>
    <r>
      <rPr>
        <sz val="12"/>
        <color indexed="9"/>
        <rFont val="Cambria"/>
        <family val="1"/>
      </rPr>
      <t>/A/s</t>
    </r>
    <r>
      <rPr>
        <vertAlign val="superscript"/>
        <sz val="12"/>
        <color indexed="9"/>
        <rFont val="Cambria"/>
        <family val="1"/>
      </rPr>
      <t>4</t>
    </r>
  </si>
  <si>
    <t>(μs)</t>
  </si>
  <si>
    <r>
      <t>Nomalized values of C</t>
    </r>
    <r>
      <rPr>
        <b/>
        <vertAlign val="subscript"/>
        <sz val="16"/>
        <color indexed="9"/>
        <rFont val="Cambria"/>
        <family val="1"/>
      </rPr>
      <t>bulk</t>
    </r>
    <r>
      <rPr>
        <b/>
        <sz val="16"/>
        <color indexed="9"/>
        <rFont val="Cambria"/>
        <family val="1"/>
      </rPr>
      <t xml:space="preserve"> (in μF) for the drop down menu of the above sheet (do not modify)</t>
    </r>
  </si>
  <si>
    <r>
      <t xml:space="preserve">Compensation  Network </t>
    </r>
    <r>
      <rPr>
        <b/>
        <sz val="12"/>
        <color indexed="10"/>
        <rFont val="Arial"/>
        <family val="2"/>
      </rPr>
      <t>(yellow boxes values appear in red when they deviate +/- 10% of the calculated value)</t>
    </r>
  </si>
  <si>
    <t xml:space="preserve">W  </t>
  </si>
  <si>
    <t xml:space="preserve">V   </t>
  </si>
  <si>
    <r>
      <t xml:space="preserve">V     </t>
    </r>
  </si>
  <si>
    <r>
      <t>C</t>
    </r>
    <r>
      <rPr>
        <vertAlign val="subscript"/>
        <sz val="18"/>
        <rFont val="Arial"/>
        <family val="2"/>
      </rPr>
      <t>aux</t>
    </r>
  </si>
  <si>
    <t>Calculated value of  Caux capacitor</t>
  </si>
  <si>
    <r>
      <t>C</t>
    </r>
    <r>
      <rPr>
        <vertAlign val="subscript"/>
        <sz val="18"/>
        <rFont val="Arial"/>
        <family val="2"/>
      </rPr>
      <t>aux,calc</t>
    </r>
  </si>
  <si>
    <t>Your selection  of Caux capacitor value  (+/- 15% of Caux,calc)</t>
  </si>
  <si>
    <r>
      <t>R</t>
    </r>
    <r>
      <rPr>
        <vertAlign val="subscript"/>
        <sz val="18"/>
        <rFont val="Arial"/>
        <family val="2"/>
      </rPr>
      <t>aux</t>
    </r>
  </si>
  <si>
    <t>Calculated value of  Raux resistor</t>
  </si>
  <si>
    <r>
      <t>R</t>
    </r>
    <r>
      <rPr>
        <vertAlign val="subscript"/>
        <sz val="18"/>
        <rFont val="Arial"/>
        <family val="2"/>
      </rPr>
      <t>aux,calc</t>
    </r>
  </si>
  <si>
    <t>Your selection  of Raux resistor value  (+/- 15% of Raux,calc)</t>
  </si>
  <si>
    <t>rev2 February  2017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</si>
</sst>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0"/>
    <numFmt numFmtId="179" formatCode="0.00000"/>
    <numFmt numFmtId="180" formatCode="[$-40C]dddd\ d\ mmmm\ yyyy"/>
    <numFmt numFmtId="181" formatCode="00000"/>
  </numFmts>
  <fonts count="119">
    <font>
      <sz val="10"/>
      <name val="Arial"/>
      <family val="0"/>
    </font>
    <font>
      <sz val="12"/>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8"/>
      <name val="Calibri"/>
      <family val="2"/>
    </font>
    <font>
      <b/>
      <sz val="22"/>
      <name val="Arial"/>
      <family val="2"/>
    </font>
    <font>
      <i/>
      <sz val="10"/>
      <name val="Arial"/>
      <family val="2"/>
    </font>
    <font>
      <b/>
      <sz val="11"/>
      <name val="Arial"/>
      <family val="2"/>
    </font>
    <font>
      <b/>
      <i/>
      <sz val="11"/>
      <name val="Arial"/>
      <family val="2"/>
    </font>
    <font>
      <b/>
      <i/>
      <sz val="22"/>
      <name val="Arial"/>
      <family val="2"/>
    </font>
    <font>
      <b/>
      <i/>
      <vertAlign val="subscript"/>
      <sz val="11"/>
      <name val="Arial"/>
      <family val="2"/>
    </font>
    <font>
      <b/>
      <sz val="10"/>
      <name val="Arial"/>
      <family val="2"/>
    </font>
    <font>
      <b/>
      <vertAlign val="subscript"/>
      <sz val="10"/>
      <name val="Arial"/>
      <family val="2"/>
    </font>
    <font>
      <sz val="18"/>
      <name val="Arial"/>
      <family val="2"/>
    </font>
    <font>
      <b/>
      <vertAlign val="subscript"/>
      <sz val="11"/>
      <name val="Arial"/>
      <family val="2"/>
    </font>
    <font>
      <b/>
      <sz val="24"/>
      <name val="Arial"/>
      <family val="2"/>
    </font>
    <font>
      <b/>
      <sz val="18"/>
      <name val="Arial"/>
      <family val="2"/>
    </font>
    <font>
      <vertAlign val="subscript"/>
      <sz val="18"/>
      <name val="Arial"/>
      <family val="2"/>
    </font>
    <font>
      <b/>
      <sz val="18"/>
      <name val="Calibri"/>
      <family val="2"/>
    </font>
    <font>
      <b/>
      <vertAlign val="subscript"/>
      <sz val="18"/>
      <name val="Calibri"/>
      <family val="2"/>
    </font>
    <font>
      <b/>
      <vertAlign val="subscript"/>
      <sz val="18"/>
      <name val="Arial"/>
      <family val="2"/>
    </font>
    <font>
      <b/>
      <sz val="18"/>
      <color indexed="10"/>
      <name val="Arial"/>
      <family val="2"/>
    </font>
    <font>
      <b/>
      <sz val="11"/>
      <name val="Calibri"/>
      <family val="2"/>
    </font>
    <font>
      <sz val="22"/>
      <name val="Arial"/>
      <family val="2"/>
    </font>
    <font>
      <sz val="16"/>
      <name val="Arial"/>
      <family val="2"/>
    </font>
    <font>
      <vertAlign val="subscript"/>
      <sz val="22"/>
      <name val="Arial"/>
      <family val="2"/>
    </font>
    <font>
      <b/>
      <sz val="14"/>
      <color indexed="10"/>
      <name val="Arial"/>
      <family val="2"/>
    </font>
    <font>
      <sz val="11"/>
      <name val="Arial"/>
      <family val="2"/>
    </font>
    <font>
      <b/>
      <sz val="12"/>
      <color indexed="12"/>
      <name val="Arial"/>
      <family val="2"/>
    </font>
    <font>
      <sz val="18"/>
      <color indexed="12"/>
      <name val="Arial"/>
      <family val="2"/>
    </font>
    <font>
      <b/>
      <vertAlign val="subscript"/>
      <sz val="12"/>
      <color indexed="12"/>
      <name val="Arial"/>
      <family val="2"/>
    </font>
    <font>
      <b/>
      <sz val="12"/>
      <color indexed="12"/>
      <name val="Calibri"/>
      <family val="2"/>
    </font>
    <font>
      <b/>
      <sz val="11"/>
      <color indexed="10"/>
      <name val="Arial"/>
      <family val="2"/>
    </font>
    <font>
      <sz val="12"/>
      <color indexed="9"/>
      <name val="Cambria"/>
      <family val="1"/>
    </font>
    <font>
      <vertAlign val="superscript"/>
      <sz val="12"/>
      <color indexed="9"/>
      <name val="Cambria"/>
      <family val="1"/>
    </font>
    <font>
      <b/>
      <sz val="16"/>
      <color indexed="9"/>
      <name val="Cambria"/>
      <family val="1"/>
    </font>
    <font>
      <b/>
      <vertAlign val="subscript"/>
      <sz val="16"/>
      <color indexed="9"/>
      <name val="Cambria"/>
      <family val="1"/>
    </font>
    <font>
      <b/>
      <sz val="12"/>
      <color indexed="10"/>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2"/>
    </font>
    <font>
      <sz val="18"/>
      <color indexed="10"/>
      <name val="Arial"/>
      <family val="2"/>
    </font>
    <font>
      <b/>
      <sz val="22"/>
      <color indexed="8"/>
      <name val="Calibri"/>
      <family val="2"/>
    </font>
    <font>
      <sz val="12"/>
      <color indexed="12"/>
      <name val="Arial"/>
      <family val="2"/>
    </font>
    <font>
      <b/>
      <sz val="14"/>
      <color indexed="9"/>
      <name val="Cambria"/>
      <family val="1"/>
    </font>
    <font>
      <b/>
      <sz val="22"/>
      <color indexed="9"/>
      <name val="Cambria"/>
      <family val="1"/>
    </font>
    <font>
      <b/>
      <sz val="12"/>
      <color indexed="9"/>
      <name val="Cambria"/>
      <family val="1"/>
    </font>
    <font>
      <b/>
      <sz val="11"/>
      <color indexed="9"/>
      <name val="Cambria"/>
      <family val="1"/>
    </font>
    <font>
      <b/>
      <sz val="10"/>
      <color indexed="9"/>
      <name val="Cambria"/>
      <family val="1"/>
    </font>
    <font>
      <sz val="18"/>
      <color indexed="9"/>
      <name val="Cambria"/>
      <family val="1"/>
    </font>
    <font>
      <b/>
      <sz val="22"/>
      <color indexed="9"/>
      <name val="Arial"/>
      <family val="2"/>
    </font>
    <font>
      <b/>
      <sz val="26"/>
      <color indexed="9"/>
      <name val="Arial"/>
      <family val="2"/>
    </font>
    <font>
      <b/>
      <sz val="10"/>
      <color indexed="9"/>
      <name val="Arial"/>
      <family val="2"/>
    </font>
    <font>
      <sz val="10"/>
      <color indexed="9"/>
      <name val="Arial"/>
      <family val="2"/>
    </font>
    <font>
      <b/>
      <sz val="24"/>
      <color indexed="8"/>
      <name val="Calibri"/>
      <family val="0"/>
    </font>
    <font>
      <b/>
      <sz val="14"/>
      <color indexed="8"/>
      <name val="Calibri"/>
      <family val="0"/>
    </font>
    <font>
      <sz val="12"/>
      <color indexed="8"/>
      <name val="Arial"/>
      <family val="0"/>
    </font>
    <font>
      <b/>
      <i/>
      <sz val="12"/>
      <color indexed="8"/>
      <name val="Arial"/>
      <family val="0"/>
    </font>
    <font>
      <b/>
      <sz val="12"/>
      <color indexed="8"/>
      <name val="Arial"/>
      <family val="0"/>
    </font>
    <font>
      <i/>
      <sz val="12"/>
      <color indexed="8"/>
      <name val="Arial"/>
      <family val="0"/>
    </font>
    <font>
      <b/>
      <u val="single"/>
      <sz val="12"/>
      <color indexed="12"/>
      <name val="Arial"/>
      <family val="0"/>
    </font>
    <font>
      <sz val="16"/>
      <color indexed="10"/>
      <name val="Arial"/>
      <family val="0"/>
    </font>
    <font>
      <sz val="16"/>
      <color indexed="8"/>
      <name val="Arial"/>
      <family val="0"/>
    </font>
    <font>
      <b/>
      <sz val="16"/>
      <color indexed="8"/>
      <name val="Calibri"/>
      <family val="0"/>
    </font>
    <font>
      <b/>
      <u val="single"/>
      <sz val="16"/>
      <color indexed="12"/>
      <name val="Calibri"/>
      <family val="0"/>
    </font>
    <font>
      <b/>
      <sz val="16"/>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Arial"/>
      <family val="2"/>
    </font>
    <font>
      <sz val="18"/>
      <color rgb="FFFF0000"/>
      <name val="Arial"/>
      <family val="2"/>
    </font>
    <font>
      <b/>
      <sz val="22"/>
      <color rgb="FF000000"/>
      <name val="Calibri"/>
      <family val="2"/>
    </font>
    <font>
      <b/>
      <sz val="11"/>
      <color rgb="FFFF0000"/>
      <name val="Arial"/>
      <family val="2"/>
    </font>
    <font>
      <b/>
      <sz val="12"/>
      <color rgb="FF0000FF"/>
      <name val="Arial"/>
      <family val="2"/>
    </font>
    <font>
      <sz val="12"/>
      <color rgb="FF0000FF"/>
      <name val="Arial"/>
      <family val="2"/>
    </font>
    <font>
      <b/>
      <sz val="14"/>
      <color theme="0"/>
      <name val="Cambria"/>
      <family val="1"/>
    </font>
    <font>
      <b/>
      <sz val="22"/>
      <color theme="0"/>
      <name val="Cambria"/>
      <family val="1"/>
    </font>
    <font>
      <b/>
      <sz val="12"/>
      <color theme="0"/>
      <name val="Cambria"/>
      <family val="1"/>
    </font>
    <font>
      <b/>
      <sz val="11"/>
      <color theme="0"/>
      <name val="Cambria"/>
      <family val="1"/>
    </font>
    <font>
      <b/>
      <sz val="10"/>
      <color theme="0"/>
      <name val="Cambria"/>
      <family val="1"/>
    </font>
    <font>
      <sz val="12"/>
      <color theme="0"/>
      <name val="Cambria"/>
      <family val="1"/>
    </font>
    <font>
      <b/>
      <sz val="16"/>
      <color theme="0"/>
      <name val="Cambria"/>
      <family val="1"/>
    </font>
    <font>
      <sz val="18"/>
      <color theme="0"/>
      <name val="Cambria"/>
      <family val="1"/>
    </font>
    <font>
      <b/>
      <sz val="22"/>
      <color theme="0"/>
      <name val="Arial"/>
      <family val="2"/>
    </font>
    <font>
      <b/>
      <sz val="26"/>
      <color theme="0"/>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FF66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2">
    <xf numFmtId="0" fontId="0" fillId="0" borderId="0" xfId="0" applyAlignment="1">
      <alignment/>
    </xf>
    <xf numFmtId="0" fontId="0" fillId="0" borderId="0" xfId="0" applyAlignment="1" applyProtection="1">
      <alignment/>
      <protection hidden="1"/>
    </xf>
    <xf numFmtId="0" fontId="15" fillId="33" borderId="0" xfId="0" applyFont="1" applyFill="1" applyAlignment="1" applyProtection="1">
      <alignment horizontal="center"/>
      <protection locked="0"/>
    </xf>
    <xf numFmtId="0" fontId="18" fillId="33" borderId="0" xfId="0" applyFont="1" applyFill="1" applyAlignment="1" applyProtection="1">
      <alignment horizontal="center"/>
      <protection locked="0"/>
    </xf>
    <xf numFmtId="0" fontId="18" fillId="0" borderId="0" xfId="0" applyFont="1" applyAlignment="1" applyProtection="1">
      <alignment/>
      <protection hidden="1"/>
    </xf>
    <xf numFmtId="0" fontId="15" fillId="34" borderId="0" xfId="0" applyFont="1" applyFill="1" applyAlignment="1" applyProtection="1">
      <alignment horizontal="center"/>
      <protection hidden="1"/>
    </xf>
    <xf numFmtId="0" fontId="15" fillId="0" borderId="0" xfId="0" applyFont="1" applyAlignment="1" applyProtection="1">
      <alignment/>
      <protection hidden="1"/>
    </xf>
    <xf numFmtId="172" fontId="15" fillId="0" borderId="0" xfId="0" applyNumberFormat="1" applyFont="1" applyAlignment="1" applyProtection="1">
      <alignment horizontal="center"/>
      <protection hidden="1"/>
    </xf>
    <xf numFmtId="0" fontId="7" fillId="35" borderId="0" xfId="0" applyFont="1" applyFill="1" applyAlignment="1" applyProtection="1">
      <alignment/>
      <protection hidden="1"/>
    </xf>
    <xf numFmtId="172" fontId="15" fillId="36" borderId="0" xfId="0" applyNumberFormat="1" applyFont="1" applyFill="1" applyAlignment="1" applyProtection="1">
      <alignment horizontal="center"/>
      <protection hidden="1"/>
    </xf>
    <xf numFmtId="2" fontId="15" fillId="36" borderId="0" xfId="0" applyNumberFormat="1" applyFont="1" applyFill="1" applyAlignment="1" applyProtection="1">
      <alignment horizontal="center"/>
      <protection hidden="1"/>
    </xf>
    <xf numFmtId="1" fontId="15" fillId="36" borderId="0" xfId="0" applyNumberFormat="1" applyFont="1" applyFill="1" applyAlignment="1" applyProtection="1">
      <alignment horizontal="center"/>
      <protection hidden="1"/>
    </xf>
    <xf numFmtId="177" fontId="15" fillId="36" borderId="0" xfId="0" applyNumberFormat="1" applyFont="1" applyFill="1" applyAlignment="1" applyProtection="1">
      <alignment horizontal="center"/>
      <protection hidden="1"/>
    </xf>
    <xf numFmtId="0" fontId="15" fillId="36" borderId="0" xfId="0" applyFont="1" applyFill="1" applyAlignment="1" applyProtection="1">
      <alignment horizontal="center"/>
      <protection hidden="1"/>
    </xf>
    <xf numFmtId="1" fontId="101" fillId="36" borderId="0" xfId="0" applyNumberFormat="1" applyFont="1" applyFill="1" applyAlignment="1" applyProtection="1">
      <alignment horizontal="center"/>
      <protection hidden="1"/>
    </xf>
    <xf numFmtId="0" fontId="17" fillId="36" borderId="10" xfId="0" applyFont="1" applyFill="1" applyBorder="1" applyAlignment="1" applyProtection="1">
      <alignment/>
      <protection hidden="1"/>
    </xf>
    <xf numFmtId="1" fontId="102" fillId="36"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34"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7" fillId="0" borderId="0" xfId="0" applyFont="1" applyAlignment="1" applyProtection="1">
      <alignment/>
      <protection hidden="1"/>
    </xf>
    <xf numFmtId="2" fontId="1" fillId="0" borderId="0" xfId="0" applyNumberFormat="1" applyFont="1" applyAlignment="1" applyProtection="1">
      <alignment/>
      <protection hidden="1"/>
    </xf>
    <xf numFmtId="0" fontId="29" fillId="0" borderId="0" xfId="0" applyFont="1" applyAlignment="1" applyProtection="1">
      <alignment horizontal="center"/>
      <protection hidden="1"/>
    </xf>
    <xf numFmtId="0" fontId="18" fillId="36" borderId="11" xfId="0" applyFont="1" applyFill="1" applyBorder="1" applyAlignment="1" applyProtection="1">
      <alignment/>
      <protection hidden="1"/>
    </xf>
    <xf numFmtId="0" fontId="18" fillId="36" borderId="10" xfId="0" applyFont="1" applyFill="1" applyBorder="1" applyAlignment="1" applyProtection="1">
      <alignment/>
      <protection hidden="1"/>
    </xf>
    <xf numFmtId="0" fontId="7" fillId="36" borderId="10" xfId="0" applyFont="1" applyFill="1" applyBorder="1" applyAlignment="1" applyProtection="1">
      <alignment/>
      <protection hidden="1"/>
    </xf>
    <xf numFmtId="0" fontId="0" fillId="36" borderId="10" xfId="0" applyFill="1" applyBorder="1" applyAlignment="1" applyProtection="1">
      <alignment/>
      <protection hidden="1"/>
    </xf>
    <xf numFmtId="0" fontId="7" fillId="36" borderId="12" xfId="0" applyFont="1" applyFill="1" applyBorder="1" applyAlignment="1" applyProtection="1">
      <alignment/>
      <protection hidden="1"/>
    </xf>
    <xf numFmtId="0" fontId="103" fillId="36" borderId="0" xfId="0" applyFont="1" applyFill="1" applyAlignment="1" applyProtection="1">
      <alignment/>
      <protection hidden="1"/>
    </xf>
    <xf numFmtId="0" fontId="7" fillId="36" borderId="0" xfId="0" applyFont="1" applyFill="1" applyAlignment="1" applyProtection="1">
      <alignment/>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7" fillId="33" borderId="0" xfId="0" applyFont="1" applyFill="1" applyAlignment="1" applyProtection="1">
      <alignment/>
      <protection hidden="1"/>
    </xf>
    <xf numFmtId="0" fontId="2" fillId="0" borderId="0" xfId="0" applyFont="1" applyAlignment="1" applyProtection="1">
      <alignment/>
      <protection hidden="1"/>
    </xf>
    <xf numFmtId="0" fontId="104" fillId="0" borderId="0" xfId="0" applyFont="1" applyAlignment="1" applyProtection="1">
      <alignment/>
      <protection hidden="1"/>
    </xf>
    <xf numFmtId="0" fontId="20" fillId="0" borderId="0" xfId="0" applyFont="1" applyAlignment="1" applyProtection="1">
      <alignment horizontal="right"/>
      <protection hidden="1"/>
    </xf>
    <xf numFmtId="0" fontId="9" fillId="0" borderId="0" xfId="0" applyFont="1" applyAlignment="1" applyProtection="1">
      <alignment/>
      <protection hidden="1"/>
    </xf>
    <xf numFmtId="0" fontId="18" fillId="0" borderId="0" xfId="0" applyFont="1" applyAlignment="1" applyProtection="1">
      <alignment horizontal="left"/>
      <protection hidden="1"/>
    </xf>
    <xf numFmtId="0" fontId="13" fillId="36" borderId="0" xfId="0" applyFont="1" applyFill="1" applyAlignment="1" applyProtection="1">
      <alignment/>
      <protection hidden="1"/>
    </xf>
    <xf numFmtId="172" fontId="29" fillId="0" borderId="0" xfId="0" applyNumberFormat="1" applyFont="1" applyAlignment="1" applyProtection="1">
      <alignment horizontal="right"/>
      <protection hidden="1"/>
    </xf>
    <xf numFmtId="0" fontId="18" fillId="0" borderId="0" xfId="0" applyFont="1" applyAlignment="1" applyProtection="1">
      <alignment horizontal="right"/>
      <protection hidden="1"/>
    </xf>
    <xf numFmtId="0" fontId="2" fillId="36" borderId="0" xfId="0" applyFont="1" applyFill="1" applyAlignment="1" applyProtection="1">
      <alignment/>
      <protection hidden="1"/>
    </xf>
    <xf numFmtId="172" fontId="29" fillId="0" borderId="0" xfId="0" applyNumberFormat="1" applyFont="1" applyAlignment="1" applyProtection="1">
      <alignment horizontal="center"/>
      <protection hidden="1"/>
    </xf>
    <xf numFmtId="2" fontId="104" fillId="0" borderId="0" xfId="0" applyNumberFormat="1" applyFont="1" applyAlignment="1" applyProtection="1">
      <alignment wrapText="1"/>
      <protection hidden="1"/>
    </xf>
    <xf numFmtId="0" fontId="3" fillId="0" borderId="0" xfId="0" applyFont="1" applyBorder="1" applyAlignment="1" applyProtection="1">
      <alignment/>
      <protection hidden="1"/>
    </xf>
    <xf numFmtId="0" fontId="105" fillId="0" borderId="0" xfId="0" applyFont="1" applyAlignment="1" applyProtection="1">
      <alignment/>
      <protection hidden="1"/>
    </xf>
    <xf numFmtId="0" fontId="106" fillId="0" borderId="0" xfId="0" applyFont="1" applyAlignment="1" applyProtection="1">
      <alignment/>
      <protection hidden="1"/>
    </xf>
    <xf numFmtId="0" fontId="25" fillId="36" borderId="0" xfId="0" applyFont="1" applyFill="1" applyAlignment="1" applyProtection="1">
      <alignment horizontal="right"/>
      <protection hidden="1"/>
    </xf>
    <xf numFmtId="0" fontId="25" fillId="36" borderId="0" xfId="0" applyFont="1" applyFill="1" applyAlignment="1" applyProtection="1">
      <alignment horizontal="center"/>
      <protection hidden="1"/>
    </xf>
    <xf numFmtId="0" fontId="15" fillId="36" borderId="0" xfId="0" applyFont="1" applyFill="1" applyAlignment="1" applyProtection="1">
      <alignment/>
      <protection hidden="1"/>
    </xf>
    <xf numFmtId="0" fontId="26" fillId="36" borderId="0" xfId="0" applyFont="1" applyFill="1" applyAlignment="1" applyProtection="1">
      <alignment/>
      <protection hidden="1"/>
    </xf>
    <xf numFmtId="0" fontId="7" fillId="0" borderId="0" xfId="0" applyFont="1" applyFill="1" applyAlignment="1" applyProtection="1">
      <alignment/>
      <protection hidden="1"/>
    </xf>
    <xf numFmtId="0" fontId="107" fillId="0" borderId="0" xfId="0" applyFont="1" applyFill="1" applyAlignment="1" applyProtection="1">
      <alignment/>
      <protection hidden="1"/>
    </xf>
    <xf numFmtId="0" fontId="108" fillId="0" borderId="0" xfId="0" applyFont="1" applyFill="1" applyAlignment="1" applyProtection="1">
      <alignment/>
      <protection hidden="1"/>
    </xf>
    <xf numFmtId="0" fontId="109" fillId="0" borderId="0" xfId="0" applyFont="1" applyFill="1" applyBorder="1" applyAlignment="1" applyProtection="1">
      <alignment/>
      <protection hidden="1"/>
    </xf>
    <xf numFmtId="0" fontId="110" fillId="0" borderId="0" xfId="0" applyFont="1" applyFill="1" applyBorder="1" applyAlignment="1" applyProtection="1">
      <alignment/>
      <protection hidden="1"/>
    </xf>
    <xf numFmtId="0" fontId="111" fillId="0" borderId="0" xfId="0" applyFont="1" applyFill="1" applyBorder="1" applyAlignment="1" applyProtection="1">
      <alignment horizontal="center"/>
      <protection hidden="1"/>
    </xf>
    <xf numFmtId="0" fontId="111" fillId="0" borderId="0" xfId="0" applyFont="1" applyFill="1" applyBorder="1" applyAlignment="1" applyProtection="1">
      <alignment/>
      <protection hidden="1"/>
    </xf>
    <xf numFmtId="0" fontId="110" fillId="0" borderId="0" xfId="0" applyFont="1" applyFill="1" applyBorder="1" applyAlignment="1" applyProtection="1">
      <alignment horizontal="center"/>
      <protection hidden="1"/>
    </xf>
    <xf numFmtId="0" fontId="112" fillId="0" borderId="0" xfId="0" applyFont="1" applyFill="1" applyBorder="1" applyAlignment="1" applyProtection="1">
      <alignment horizontal="center"/>
      <protection hidden="1"/>
    </xf>
    <xf numFmtId="0" fontId="109" fillId="0" borderId="0" xfId="0" applyFont="1" applyFill="1" applyBorder="1" applyAlignment="1" applyProtection="1">
      <alignment horizontal="center"/>
      <protection hidden="1"/>
    </xf>
    <xf numFmtId="2" fontId="109" fillId="0" borderId="0" xfId="0" applyNumberFormat="1" applyFont="1" applyFill="1" applyBorder="1" applyAlignment="1" applyProtection="1">
      <alignment horizontal="center"/>
      <protection hidden="1"/>
    </xf>
    <xf numFmtId="0" fontId="29" fillId="0" borderId="0" xfId="0" applyFont="1" applyAlignment="1" applyProtection="1">
      <alignment/>
      <protection hidden="1"/>
    </xf>
    <xf numFmtId="0" fontId="113" fillId="34" borderId="0" xfId="0" applyFont="1" applyFill="1" applyBorder="1" applyAlignment="1" applyProtection="1">
      <alignment wrapText="1"/>
      <protection hidden="1"/>
    </xf>
    <xf numFmtId="0" fontId="114" fillId="34" borderId="0" xfId="0" applyFont="1" applyFill="1" applyBorder="1" applyAlignment="1" applyProtection="1">
      <alignment/>
      <protection hidden="1"/>
    </xf>
    <xf numFmtId="0" fontId="115" fillId="0" borderId="0" xfId="0" applyFont="1" applyFill="1" applyBorder="1" applyAlignment="1" applyProtection="1">
      <alignment/>
      <protection hidden="1"/>
    </xf>
    <xf numFmtId="0" fontId="116" fillId="0" borderId="0" xfId="0" applyFont="1" applyFill="1" applyBorder="1" applyAlignment="1" applyProtection="1">
      <alignment/>
      <protection hidden="1"/>
    </xf>
    <xf numFmtId="0" fontId="117" fillId="0" borderId="0" xfId="0" applyFont="1" applyFill="1" applyBorder="1" applyAlignment="1" applyProtection="1">
      <alignment/>
      <protection hidden="1"/>
    </xf>
    <xf numFmtId="0" fontId="117" fillId="0" borderId="0" xfId="0" applyFont="1" applyFill="1" applyBorder="1" applyAlignment="1" applyProtection="1">
      <alignment horizontal="center"/>
      <protection hidden="1"/>
    </xf>
    <xf numFmtId="11" fontId="118" fillId="0" borderId="0" xfId="0" applyNumberFormat="1" applyFont="1" applyFill="1" applyBorder="1" applyAlignment="1" applyProtection="1">
      <alignment horizontal="center"/>
      <protection hidden="1"/>
    </xf>
    <xf numFmtId="172" fontId="118" fillId="0" borderId="0" xfId="0" applyNumberFormat="1" applyFont="1" applyFill="1" applyBorder="1" applyAlignment="1" applyProtection="1">
      <alignment horizontal="center"/>
      <protection hidden="1"/>
    </xf>
    <xf numFmtId="2" fontId="118" fillId="0" borderId="0" xfId="0" applyNumberFormat="1" applyFont="1" applyFill="1" applyBorder="1" applyAlignment="1" applyProtection="1">
      <alignment horizontal="center"/>
      <protection hidden="1"/>
    </xf>
    <xf numFmtId="0" fontId="107" fillId="0" borderId="0" xfId="0" applyFont="1" applyFill="1" applyBorder="1" applyAlignment="1" applyProtection="1">
      <alignment/>
      <protection hidden="1"/>
    </xf>
    <xf numFmtId="0" fontId="108" fillId="0" borderId="0" xfId="0" applyFont="1" applyFill="1" applyBorder="1" applyAlignment="1" applyProtection="1">
      <alignment/>
      <protection hidden="1"/>
    </xf>
    <xf numFmtId="0" fontId="113" fillId="0" borderId="0" xfId="0" applyFont="1" applyFill="1" applyAlignment="1" applyProtection="1">
      <alignment wrapText="1"/>
      <protection hidden="1"/>
    </xf>
    <xf numFmtId="0" fontId="114" fillId="0" borderId="0" xfId="0" applyFont="1" applyFill="1" applyAlignment="1" applyProtection="1">
      <alignment/>
      <protection hidden="1"/>
    </xf>
    <xf numFmtId="0" fontId="117" fillId="0" borderId="0" xfId="0" applyFont="1" applyFill="1" applyBorder="1" applyAlignment="1" applyProtection="1">
      <alignment horizontal="center"/>
      <protection hidden="1"/>
    </xf>
    <xf numFmtId="0" fontId="118" fillId="0" borderId="0" xfId="0"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dxf/>
    <dxf>
      <font>
        <strike val="0"/>
        <color rgb="FFFF0000"/>
      </font>
    </dxf>
    <dxf>
      <font>
        <strike val="0"/>
        <color rgb="FFFF0000"/>
      </font>
    </dxf>
    <dxf>
      <font>
        <strike val="0"/>
        <color rgb="FFFF0000"/>
      </font>
    </dxf>
    <dxf>
      <font>
        <strike val="0"/>
        <color rgb="FFFF0000"/>
      </font>
    </dxf>
    <dxf/>
    <dxf>
      <font>
        <strike val="0"/>
        <color rgb="FFFF0000"/>
      </font>
    </dxf>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4175"/>
          <c:w val="0.9415"/>
          <c:h val="0.88725"/>
        </c:manualLayout>
      </c:layout>
      <c:scatterChart>
        <c:scatterStyle val="lineMarker"/>
        <c:varyColors val="0"/>
        <c:ser>
          <c:idx val="0"/>
          <c:order val="0"/>
          <c:tx>
            <c:v>Plant_dB</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NCP1602_Calc_Sheet_ZCD_w_Vdrain!$AM$32:$AM$192</c:f>
              <c:numCache/>
            </c:numRef>
          </c:yVal>
          <c:smooth val="0"/>
        </c:ser>
        <c:ser>
          <c:idx val="1"/>
          <c:order val="1"/>
          <c:tx>
            <c:v>Compensator_dB</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NCP1602_Calc_Sheet_ZCD_w_Vdrain!$AO$32:$AO$192</c:f>
              <c:numCache/>
            </c:numRef>
          </c:yVal>
          <c:smooth val="0"/>
        </c:ser>
        <c:ser>
          <c:idx val="2"/>
          <c:order val="2"/>
          <c:tx>
            <c:v>Open Loop_dB</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NCP1602_Calc_Sheet_ZCD_w_Vdrain!$AQ$32:$AQ$192</c:f>
              <c:numCache/>
            </c:numRef>
          </c:yVal>
          <c:smooth val="0"/>
        </c:ser>
        <c:axId val="26664462"/>
        <c:axId val="38653567"/>
      </c:scatterChart>
      <c:valAx>
        <c:axId val="26664462"/>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8653567"/>
        <c:crossesAt val="-50"/>
        <c:crossBetween val="midCat"/>
        <c:dispUnits/>
      </c:valAx>
      <c:valAx>
        <c:axId val="38653567"/>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6"/>
              <c:y val="0.000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6664462"/>
        <c:crossesAt val="0.001"/>
        <c:crossBetween val="midCat"/>
        <c:dispUnits/>
        <c:majorUnit val="50"/>
        <c:minorUnit val="10"/>
      </c:valAx>
      <c:spPr>
        <a:solidFill>
          <a:srgbClr val="FFFFFF"/>
        </a:solidFill>
        <a:ln w="3175">
          <a:noFill/>
        </a:ln>
      </c:spPr>
    </c:plotArea>
    <c:legend>
      <c:legendPos val="r"/>
      <c:layout>
        <c:manualLayout>
          <c:xMode val="edge"/>
          <c:yMode val="edge"/>
          <c:x val="0.72875"/>
          <c:y val="0.07225"/>
          <c:w val="0.2025"/>
          <c:h val="0.1467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1"/>
          <c:w val="0.95725"/>
          <c:h val="0.9115"/>
        </c:manualLayout>
      </c:layout>
      <c:scatterChart>
        <c:scatterStyle val="lineMarker"/>
        <c:varyColors val="0"/>
        <c:ser>
          <c:idx val="0"/>
          <c:order val="0"/>
          <c:tx>
            <c:v>Plant_deg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NCP1602_Calc_Sheet_ZCD_w_Vdrain!$AN$32:$AN$192</c:f>
              <c:numCache/>
            </c:numRef>
          </c:yVal>
          <c:smooth val="0"/>
        </c:ser>
        <c:ser>
          <c:idx val="1"/>
          <c:order val="1"/>
          <c:tx>
            <c:v>Compensator_deg</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NCP1602_Calc_Sheet_ZCD_w_Vdrain!$AP$32:$AP$192</c:f>
              <c:numCache/>
            </c:numRef>
          </c:yVal>
          <c:smooth val="0"/>
        </c:ser>
        <c:ser>
          <c:idx val="2"/>
          <c:order val="2"/>
          <c:tx>
            <c:v>Open Loop_deg</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NCP1602_Calc_Sheet_ZCD_w_Vdrain!$AL$32:$AL$192</c:f>
              <c:numCache/>
            </c:numRef>
          </c:xVal>
          <c:yVal>
            <c:numRef>
              <c:f>NCP1602_Calc_Sheet_ZCD_w_Vdrain!$AR$32:$AR$192</c:f>
              <c:numCache/>
            </c:numRef>
          </c:yVal>
          <c:smooth val="0"/>
        </c:ser>
        <c:axId val="12337784"/>
        <c:axId val="43931193"/>
      </c:scatterChart>
      <c:valAx>
        <c:axId val="12337784"/>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5"/>
              <c:y val="0.000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3931193"/>
        <c:crossesAt val="-100"/>
        <c:crossBetween val="midCat"/>
        <c:dispUnits/>
      </c:valAx>
      <c:valAx>
        <c:axId val="43931193"/>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2337784"/>
        <c:crossesAt val="0.001"/>
        <c:crossBetween val="midCat"/>
        <c:dispUnits/>
        <c:majorUnit val="50"/>
        <c:minorUnit val="10"/>
      </c:valAx>
      <c:spPr>
        <a:solidFill>
          <a:srgbClr val="FFFFFF"/>
        </a:solidFill>
        <a:ln w="3175">
          <a:noFill/>
        </a:ln>
      </c:spPr>
    </c:plotArea>
    <c:legend>
      <c:legendPos val="r"/>
      <c:layout>
        <c:manualLayout>
          <c:xMode val="edge"/>
          <c:yMode val="edge"/>
          <c:x val="0.711"/>
          <c:y val="0.0645"/>
          <c:w val="0.20725"/>
          <c:h val="0.139"/>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25"/>
          <c:w val="0.958"/>
          <c:h val="0.97625"/>
        </c:manualLayout>
      </c:layout>
      <c:scatterChart>
        <c:scatterStyle val="lineMarker"/>
        <c:varyColors val="0"/>
        <c:ser>
          <c:idx val="0"/>
          <c:order val="0"/>
          <c:tx>
            <c:strRef>
              <c:f>NCP1602_Calc_Sheet_ZCD_w_Vaux!$AM$31</c:f>
              <c:strCache>
                <c:ptCount val="1"/>
                <c:pt idx="0">
                  <c:v>Plant_dB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NCP1602_Calc_Sheet_ZCD_w_Vaux!$AM$32:$AM$195</c:f>
              <c:numCache/>
            </c:numRef>
          </c:yVal>
          <c:smooth val="0"/>
        </c:ser>
        <c:ser>
          <c:idx val="2"/>
          <c:order val="1"/>
          <c:tx>
            <c:strRef>
              <c:f>NCP1602_Calc_Sheet_ZCD_w_Vaux!$AO$31</c:f>
              <c:strCache>
                <c:ptCount val="1"/>
                <c:pt idx="0">
                  <c:v>Compensator_dB</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NCP1602_Calc_Sheet_ZCD_w_Vaux!$AO$32:$AO$195</c:f>
              <c:numCache/>
            </c:numRef>
          </c:yVal>
          <c:smooth val="0"/>
        </c:ser>
        <c:ser>
          <c:idx val="4"/>
          <c:order val="2"/>
          <c:tx>
            <c:strRef>
              <c:f>NCP1602_Calc_Sheet_ZCD_w_Vaux!$AQ$31</c:f>
              <c:strCache>
                <c:ptCount val="1"/>
                <c:pt idx="0">
                  <c:v>Open Loop_dB</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NCP1602_Calc_Sheet_ZCD_w_Vaux!$AQ$32:$AQ$195</c:f>
              <c:numCache/>
            </c:numRef>
          </c:yVal>
          <c:smooth val="0"/>
        </c:ser>
        <c:axId val="59836418"/>
        <c:axId val="1656851"/>
      </c:scatterChart>
      <c:valAx>
        <c:axId val="59836418"/>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425"/>
              <c:y val="-0.013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656851"/>
        <c:crossesAt val="-50"/>
        <c:crossBetween val="midCat"/>
        <c:dispUnits/>
      </c:valAx>
      <c:valAx>
        <c:axId val="1656851"/>
        <c:scaling>
          <c:orientation val="minMax"/>
          <c:max val="100"/>
          <c:min val="-50"/>
        </c:scaling>
        <c:axPos val="l"/>
        <c:title>
          <c:tx>
            <c:rich>
              <a:bodyPr vert="horz" rot="-5400000" anchor="ctr"/>
              <a:lstStyle/>
              <a:p>
                <a:pPr algn="ctr">
                  <a:defRPr/>
                </a:pPr>
                <a:r>
                  <a:rPr lang="en-US" cap="none" sz="1600" b="1" i="0" u="none" baseline="0">
                    <a:solidFill>
                      <a:srgbClr val="000000"/>
                    </a:solidFill>
                  </a:rPr>
                  <a:t>dB </a:t>
                </a:r>
              </a:p>
            </c:rich>
          </c:tx>
          <c:layout>
            <c:manualLayout>
              <c:xMode val="factor"/>
              <c:yMode val="factor"/>
              <c:x val="-0.00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9836418"/>
        <c:crossesAt val="0.001"/>
        <c:crossBetween val="midCat"/>
        <c:dispUnits/>
        <c:majorUnit val="50"/>
        <c:minorUnit val="10"/>
      </c:valAx>
      <c:spPr>
        <a:solidFill>
          <a:srgbClr val="FFFFFF"/>
        </a:solidFill>
        <a:ln w="3175">
          <a:noFill/>
        </a:ln>
      </c:spPr>
    </c:plotArea>
    <c:legend>
      <c:legendPos val="r"/>
      <c:layout>
        <c:manualLayout>
          <c:xMode val="edge"/>
          <c:yMode val="edge"/>
          <c:x val="0.71375"/>
          <c:y val="0.0225"/>
          <c:w val="0.23225"/>
          <c:h val="0.2422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925"/>
          <c:w val="0.984"/>
          <c:h val="0.96075"/>
        </c:manualLayout>
      </c:layout>
      <c:scatterChart>
        <c:scatterStyle val="lineMarker"/>
        <c:varyColors val="0"/>
        <c:ser>
          <c:idx val="1"/>
          <c:order val="0"/>
          <c:tx>
            <c:strRef>
              <c:f>NCP1602_Calc_Sheet_ZCD_w_Vaux!$AN$31</c:f>
              <c:strCache>
                <c:ptCount val="1"/>
                <c:pt idx="0">
                  <c:v>Plant_deg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NCP1602_Calc_Sheet_ZCD_w_Vaux!$AN$32:$AN$195</c:f>
              <c:numCache/>
            </c:numRef>
          </c:yVal>
          <c:smooth val="0"/>
        </c:ser>
        <c:ser>
          <c:idx val="3"/>
          <c:order val="1"/>
          <c:tx>
            <c:strRef>
              <c:f>NCP1602_Calc_Sheet_ZCD_w_Vaux!$AP$31</c:f>
              <c:strCache>
                <c:ptCount val="1"/>
                <c:pt idx="0">
                  <c:v>Compensator_deg</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NCP1602_Calc_Sheet_ZCD_w_Vaux!$AP$32:$AP$195</c:f>
              <c:numCache/>
            </c:numRef>
          </c:yVal>
          <c:smooth val="0"/>
        </c:ser>
        <c:ser>
          <c:idx val="5"/>
          <c:order val="2"/>
          <c:tx>
            <c:strRef>
              <c:f>NCP1602_Calc_Sheet_ZCD_w_Vaux!$AR$31</c:f>
              <c:strCache>
                <c:ptCount val="1"/>
                <c:pt idx="0">
                  <c:v>Open Loop_deg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NCP1602_Calc_Sheet_ZCD_w_Vaux!$AL$32:$AL$195</c:f>
              <c:numCache/>
            </c:numRef>
          </c:xVal>
          <c:yVal>
            <c:numRef>
              <c:f>NCP1602_Calc_Sheet_ZCD_w_Vaux!$AR$32:$AR$195</c:f>
              <c:numCache/>
            </c:numRef>
          </c:yVal>
          <c:smooth val="0"/>
        </c:ser>
        <c:axId val="14911660"/>
        <c:axId val="67096077"/>
      </c:scatterChart>
      <c:valAx>
        <c:axId val="14911660"/>
        <c:scaling>
          <c:logBase val="10"/>
          <c:orientation val="minMax"/>
        </c:scaling>
        <c:axPos val="b"/>
        <c:title>
          <c:tx>
            <c:rich>
              <a:bodyPr vert="horz" rot="0" anchor="ctr"/>
              <a:lstStyle/>
              <a:p>
                <a:pPr algn="ctr">
                  <a:defRPr/>
                </a:pPr>
                <a:r>
                  <a:rPr lang="en-US" cap="none" sz="1600" b="1" i="0" u="none" baseline="0">
                    <a:solidFill>
                      <a:srgbClr val="000000"/>
                    </a:solidFill>
                  </a:rPr>
                  <a:t>Frequency (Hz)</a:t>
                </a:r>
              </a:p>
            </c:rich>
          </c:tx>
          <c:layout>
            <c:manualLayout>
              <c:xMode val="factor"/>
              <c:yMode val="factor"/>
              <c:x val="0.001"/>
              <c:y val="0.006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7096077"/>
        <c:crossesAt val="-100"/>
        <c:crossBetween val="midCat"/>
        <c:dispUnits/>
      </c:valAx>
      <c:valAx>
        <c:axId val="67096077"/>
        <c:scaling>
          <c:orientation val="minMax"/>
          <c:max val="150"/>
          <c:min val="-100"/>
        </c:scaling>
        <c:axPos val="l"/>
        <c:title>
          <c:tx>
            <c:rich>
              <a:bodyPr vert="horz" rot="-5400000" anchor="ctr"/>
              <a:lstStyle/>
              <a:p>
                <a:pPr algn="ctr">
                  <a:defRPr/>
                </a:pPr>
                <a:r>
                  <a:rPr lang="en-US" cap="none" sz="1600" b="1" i="0" u="none" baseline="0">
                    <a:solidFill>
                      <a:srgbClr val="000000"/>
                    </a:solidFill>
                  </a:rPr>
                  <a:t>deg</a:t>
                </a:r>
              </a:p>
            </c:rich>
          </c:tx>
          <c:layout>
            <c:manualLayout>
              <c:xMode val="factor"/>
              <c:yMode val="factor"/>
              <c:x val="0.0045"/>
              <c:y val="-0.00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4911660"/>
        <c:crossesAt val="0.001"/>
        <c:crossBetween val="midCat"/>
        <c:dispUnits/>
        <c:majorUnit val="50"/>
        <c:minorUnit val="10"/>
      </c:valAx>
      <c:spPr>
        <a:solidFill>
          <a:srgbClr val="FFFFFF"/>
        </a:solidFill>
        <a:ln w="3175">
          <a:noFill/>
        </a:ln>
      </c:spPr>
    </c:plotArea>
    <c:legend>
      <c:legendPos val="r"/>
      <c:layout>
        <c:manualLayout>
          <c:xMode val="edge"/>
          <c:yMode val="edge"/>
          <c:x val="0.7"/>
          <c:y val="0.02225"/>
          <c:w val="0.2445"/>
          <c:h val="0.2435"/>
        </c:manualLayout>
      </c:layout>
      <c:overlay val="0"/>
      <c:spPr>
        <a:solidFill>
          <a:srgbClr val="FFFFFF"/>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xdr:row>
      <xdr:rowOff>85725</xdr:rowOff>
    </xdr:from>
    <xdr:to>
      <xdr:col>20</xdr:col>
      <xdr:colOff>523875</xdr:colOff>
      <xdr:row>38</xdr:row>
      <xdr:rowOff>142875</xdr:rowOff>
    </xdr:to>
    <xdr:sp>
      <xdr:nvSpPr>
        <xdr:cNvPr id="1" name="TextBox 1"/>
        <xdr:cNvSpPr txBox="1">
          <a:spLocks noChangeArrowheads="1"/>
        </xdr:cNvSpPr>
      </xdr:nvSpPr>
      <xdr:spPr>
        <a:xfrm>
          <a:off x="1228725" y="895350"/>
          <a:ext cx="11487150" cy="5400675"/>
        </a:xfrm>
        <a:prstGeom prst="rect">
          <a:avLst/>
        </a:prstGeom>
        <a:solidFill>
          <a:srgbClr val="99FF66"/>
        </a:solid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                                             NCP1602 Design Worksheet                               </a:t>
          </a:r>
          <a:r>
            <a:rPr lang="en-US" cap="none" sz="1400" b="1" i="0" u="none" baseline="0">
              <a:solidFill>
                <a:srgbClr val="000000"/>
              </a:solidFill>
              <a:latin typeface="Calibri"/>
              <a:ea typeface="Calibri"/>
              <a:cs typeface="Calibri"/>
            </a:rPr>
            <a:t>rev1</a:t>
          </a:r>
          <a:r>
            <a:rPr lang="en-US" cap="none" sz="2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July  2016 
</a:t>
          </a:r>
          <a:r>
            <a:rPr lang="en-US" cap="none" sz="2400" b="1" i="0" u="none" baseline="0">
              <a:solidFill>
                <a:srgbClr val="000000"/>
              </a:solidFill>
              <a:latin typeface="Calibri"/>
              <a:ea typeface="Calibri"/>
              <a:cs typeface="Calibri"/>
            </a:rPr>
            <a:t>
</a:t>
          </a:r>
          <a:r>
            <a:rPr lang="en-US" cap="none" sz="1200" b="0" i="0" u="none" baseline="0">
              <a:solidFill>
                <a:srgbClr val="000000"/>
              </a:solidFill>
              <a:latin typeface="Arial"/>
              <a:ea typeface="Arial"/>
              <a:cs typeface="Arial"/>
            </a:rPr>
            <a:t>The </a:t>
          </a:r>
          <a:r>
            <a:rPr lang="en-US" cap="none" sz="1200" b="0" i="0" u="none" baseline="0">
              <a:solidFill>
                <a:srgbClr val="000000"/>
              </a:solidFill>
              <a:latin typeface="Arial"/>
              <a:ea typeface="Arial"/>
              <a:cs typeface="Arial"/>
            </a:rPr>
            <a:t>NCP1602 is designed to drive PFC boost stages. It is based on an innovative </a:t>
          </a:r>
          <a:r>
            <a:rPr lang="en-US" cap="none" sz="1200" b="1" i="1" u="none" baseline="0">
              <a:solidFill>
                <a:srgbClr val="000000"/>
              </a:solidFill>
              <a:latin typeface="Arial"/>
              <a:ea typeface="Arial"/>
              <a:cs typeface="Arial"/>
            </a:rPr>
            <a:t>V</a:t>
          </a:r>
          <a:r>
            <a:rPr lang="en-US" cap="none" sz="1200" b="0" i="0" u="none" baseline="0">
              <a:solidFill>
                <a:srgbClr val="000000"/>
              </a:solidFill>
              <a:latin typeface="Arial"/>
              <a:ea typeface="Arial"/>
              <a:cs typeface="Arial"/>
            </a:rPr>
            <a:t>alley </a:t>
          </a:r>
          <a:r>
            <a:rPr lang="en-US" cap="none" sz="1200" b="1" i="0" u="none" baseline="0">
              <a:solidFill>
                <a:srgbClr val="000000"/>
              </a:solidFill>
              <a:latin typeface="Arial"/>
              <a:ea typeface="Arial"/>
              <a:cs typeface="Arial"/>
            </a:rPr>
            <a:t>S</a:t>
          </a:r>
          <a:r>
            <a:rPr lang="en-US" cap="none" sz="1200" b="0" i="0" u="none" baseline="0">
              <a:solidFill>
                <a:srgbClr val="000000"/>
              </a:solidFill>
              <a:latin typeface="Arial"/>
              <a:ea typeface="Arial"/>
              <a:cs typeface="Arial"/>
            </a:rPr>
            <a:t>ynchronized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requency </a:t>
          </a:r>
          <a:r>
            <a:rPr lang="en-US" cap="none" sz="1200" b="1" i="0" u="none" baseline="0">
              <a:solidFill>
                <a:srgbClr val="000000"/>
              </a:solidFill>
              <a:latin typeface="Arial"/>
              <a:ea typeface="Arial"/>
              <a:cs typeface="Arial"/>
            </a:rPr>
            <a:t>F</a:t>
          </a:r>
          <a:r>
            <a:rPr lang="en-US" cap="none" sz="1200" b="0" i="0" u="none" baseline="0">
              <a:solidFill>
                <a:srgbClr val="000000"/>
              </a:solidFill>
              <a:latin typeface="Arial"/>
              <a:ea typeface="Arial"/>
              <a:cs typeface="Arial"/>
            </a:rPr>
            <a:t>old−back (</a:t>
          </a:r>
          <a:r>
            <a:rPr lang="en-US" cap="none" sz="1200" b="1" i="0" u="none" baseline="0">
              <a:solidFill>
                <a:srgbClr val="000000"/>
              </a:solidFill>
              <a:latin typeface="Arial"/>
              <a:ea typeface="Arial"/>
              <a:cs typeface="Arial"/>
            </a:rPr>
            <a:t>VSFF</a:t>
          </a:r>
          <a:r>
            <a:rPr lang="en-US" cap="none" sz="1200" b="0" i="0" u="none" baseline="0">
              <a:solidFill>
                <a:srgbClr val="000000"/>
              </a:solidFill>
              <a:latin typeface="Arial"/>
              <a:ea typeface="Arial"/>
              <a:cs typeface="Arial"/>
            </a:rPr>
            <a:t>) method. In this mode, the circuit classically  operates in </a:t>
          </a:r>
          <a:r>
            <a:rPr lang="en-US" cap="none" sz="1200" b="1" i="0" u="none" baseline="0">
              <a:solidFill>
                <a:srgbClr val="000000"/>
              </a:solidFill>
              <a:latin typeface="Arial"/>
              <a:ea typeface="Arial"/>
              <a:cs typeface="Arial"/>
            </a:rPr>
            <a:t>Cr</a:t>
          </a:r>
          <a:r>
            <a:rPr lang="en-US" cap="none" sz="1200" b="0" i="0" u="none" baseline="0">
              <a:solidFill>
                <a:srgbClr val="000000"/>
              </a:solidFill>
              <a:latin typeface="Arial"/>
              <a:ea typeface="Arial"/>
              <a:cs typeface="Arial"/>
            </a:rPr>
            <a:t>itical conduction </a:t>
          </a:r>
          <a:r>
            <a:rPr lang="en-US" cap="none" sz="1200" b="1" i="0" u="none" baseline="0">
              <a:solidFill>
                <a:srgbClr val="000000"/>
              </a:solidFill>
              <a:latin typeface="Arial"/>
              <a:ea typeface="Arial"/>
              <a:cs typeface="Arial"/>
            </a:rPr>
            <a:t>M</a:t>
          </a:r>
          <a:r>
            <a:rPr lang="en-US" cap="none" sz="1200" b="0" i="0" u="none" baseline="0">
              <a:solidFill>
                <a:srgbClr val="000000"/>
              </a:solidFill>
              <a:latin typeface="Arial"/>
              <a:ea typeface="Arial"/>
              <a:cs typeface="Arial"/>
            </a:rPr>
            <a:t>ode (</a:t>
          </a:r>
          <a:r>
            <a:rPr lang="en-US" cap="none" sz="1200" b="1" i="0" u="none" baseline="0">
              <a:solidFill>
                <a:srgbClr val="000000"/>
              </a:solidFill>
              <a:latin typeface="Arial"/>
              <a:ea typeface="Arial"/>
              <a:cs typeface="Arial"/>
            </a:rPr>
            <a:t>CrM</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voltage exceeds a programmable value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When </a:t>
          </a:r>
          <a:r>
            <a:rPr lang="en-US" cap="none" sz="1200" b="0" i="1" u="none" baseline="0">
              <a:solidFill>
                <a:srgbClr val="000000"/>
              </a:solidFill>
              <a:latin typeface="Arial"/>
              <a:ea typeface="Arial"/>
              <a:cs typeface="Arial"/>
            </a:rPr>
            <a:t>Vcontrol </a:t>
          </a:r>
          <a:r>
            <a:rPr lang="en-US" cap="none" sz="1200" b="0" i="0" u="none" baseline="0">
              <a:solidFill>
                <a:srgbClr val="000000"/>
              </a:solidFill>
              <a:latin typeface="Arial"/>
              <a:ea typeface="Arial"/>
              <a:cs typeface="Arial"/>
            </a:rPr>
            <a:t>is below this preset level </a:t>
          </a:r>
          <a:r>
            <a:rPr lang="en-US" cap="none" sz="1200" b="0" i="1" u="none" baseline="0">
              <a:solidFill>
                <a:srgbClr val="000000"/>
              </a:solidFill>
              <a:latin typeface="Arial"/>
              <a:ea typeface="Arial"/>
              <a:cs typeface="Arial"/>
            </a:rPr>
            <a:t>Vctrl,FF</a:t>
          </a:r>
          <a:r>
            <a:rPr lang="en-US" cap="none" sz="1200" b="0" i="0" u="none" baseline="0">
              <a:solidFill>
                <a:srgbClr val="000000"/>
              </a:solidFill>
              <a:latin typeface="Arial"/>
              <a:ea typeface="Arial"/>
              <a:cs typeface="Arial"/>
            </a:rPr>
            <a:t>, the NCP1602  linearly decays the frequency down to about 30 kHz when the load current is null. </a:t>
          </a:r>
          <a:r>
            <a:rPr lang="en-US" cap="none" sz="1200" b="1" i="0" u="none" baseline="0">
              <a:solidFill>
                <a:srgbClr val="000000"/>
              </a:solidFill>
              <a:latin typeface="Arial"/>
              <a:ea typeface="Arial"/>
              <a:cs typeface="Arial"/>
            </a:rPr>
            <a:t>VSFF </a:t>
          </a:r>
          <a:r>
            <a:rPr lang="en-US" cap="none" sz="1200" b="0" i="0" u="none" baseline="0">
              <a:solidFill>
                <a:srgbClr val="000000"/>
              </a:solidFill>
              <a:latin typeface="Arial"/>
              <a:ea typeface="Arial"/>
              <a:cs typeface="Arial"/>
            </a:rPr>
            <a:t>maximizes the efficiency at both  nominal and light load. In particular, the stand−by losses are reduced to a minimum.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Like in </a:t>
          </a:r>
          <a:r>
            <a:rPr lang="en-US" cap="none" sz="1200" b="1" i="0" u="none" baseline="0">
              <a:solidFill>
                <a:srgbClr val="000000"/>
              </a:solidFill>
              <a:latin typeface="Arial"/>
              <a:ea typeface="Arial"/>
              <a:cs typeface="Arial"/>
            </a:rPr>
            <a:t>FCCrM </a:t>
          </a:r>
          <a:r>
            <a:rPr lang="en-US" cap="none" sz="1200" b="0" i="0" u="none" baseline="0">
              <a:solidFill>
                <a:srgbClr val="000000"/>
              </a:solidFill>
              <a:latin typeface="Arial"/>
              <a:ea typeface="Arial"/>
              <a:cs typeface="Arial"/>
            </a:rPr>
            <a:t>controllers, internal circuitry allows near−unity power factor even when the switching frequency is reduced. Housed in a TSOP6 package, the circuit also incorporates the features necessary for robust and compact PFC stages, with few external components.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two-tab Excel spreadsheet helps designing a 1-phase PFC stage based onthe NCP1602 by computing the main external components (refer to the generic application schematic of each tab). The two tabs in this spreadsheet are very similar for most of the parameters, except the fact that one tab  is  for an application using the auxilliary winding voltage for ZCD detection and the other one is for an application not using auxilliary winding but rather a simple boost inductor (Power Mosfet drain voltage is used  for ZCD detection in this case).
</a:t>
          </a:r>
          <a:r>
            <a:rPr lang="en-US" cap="none" sz="1200" b="0" i="0" u="none" baseline="0">
              <a:solidFill>
                <a:srgbClr val="000000"/>
              </a:solidFill>
              <a:latin typeface="Arial"/>
              <a:ea typeface="Arial"/>
              <a:cs typeface="Arial"/>
            </a:rPr>
            <a:t>The calculations are based on the equations and process detailed in the application note </a:t>
          </a:r>
          <a:r>
            <a:rPr lang="en-US" cap="none" sz="1200" b="1" i="0" u="none" baseline="0">
              <a:solidFill>
                <a:srgbClr val="0000FF"/>
              </a:solidFill>
              <a:latin typeface="Arial"/>
              <a:ea typeface="Arial"/>
              <a:cs typeface="Arial"/>
            </a:rPr>
            <a:t>AND9218/D</a:t>
          </a:r>
          <a:r>
            <a:rPr lang="en-US" cap="none" sz="1200" b="0" i="0" u="none" baseline="0">
              <a:solidFill>
                <a:srgbClr val="000000"/>
              </a:solidFill>
              <a:latin typeface="Arial"/>
              <a:ea typeface="Arial"/>
              <a:cs typeface="Arial"/>
            </a:rPr>
            <a:t>. For more information, please refer to: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sng" baseline="0">
              <a:solidFill>
                <a:srgbClr val="0000FF"/>
              </a:solidFill>
              <a:latin typeface="Arial"/>
              <a:ea typeface="Arial"/>
              <a:cs typeface="Arial"/>
            </a:rPr>
            <a:t>http://www.onsemi.com/pub_link/Collateral/AND9218-D.PDF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Please note that this spreadsheet is a general tool being provided to assist designers in using the NCP1602.
</a:t>
          </a:r>
          <a:r>
            <a:rPr lang="en-US" cap="none" sz="1600" b="0" i="0" u="none" baseline="0">
              <a:solidFill>
                <a:srgbClr val="FF0000"/>
              </a:solidFill>
              <a:latin typeface="Arial"/>
              <a:ea typeface="Arial"/>
              <a:cs typeface="Arial"/>
            </a:rPr>
            <a:t>The output of this tool is to be used as a guide line and does not provide any measure of the success of a particular system design.  For any question /comments regarding the use of this spreadsheet, please contact us at:
</a:t>
          </a:r>
          <a:r>
            <a:rPr lang="en-US" cap="none" sz="16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sng" baseline="0">
              <a:solidFill>
                <a:srgbClr val="0000FF"/>
              </a:solidFill>
              <a:latin typeface="Arial"/>
              <a:ea typeface="Arial"/>
              <a:cs typeface="Arial"/>
            </a:rPr>
            <a:t>http://www.onsemi.com/PowerSolutions/ticrequest.do
</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rev1:</a:t>
          </a:r>
          <a:r>
            <a:rPr lang="en-US" cap="none" sz="1600" b="1" i="0" u="none" baseline="0">
              <a:solidFill>
                <a:srgbClr val="000000"/>
              </a:solidFill>
              <a:latin typeface="Calibri"/>
              <a:ea typeface="Calibri"/>
              <a:cs typeface="Calibri"/>
            </a:rPr>
            <a:t> added Caux and Raux calculation in the ZCD_w_Vaux sheet (ref: </a:t>
          </a:r>
          <a:r>
            <a:rPr lang="en-US" cap="none" sz="1600" b="1" i="0" u="sng" baseline="0">
              <a:solidFill>
                <a:srgbClr val="0000FF"/>
              </a:solidFill>
              <a:latin typeface="Calibri"/>
              <a:ea typeface="Calibri"/>
              <a:cs typeface="Calibri"/>
            </a:rPr>
            <a:t>http://www.onsemi.com/pub_link/Collateral/AND9455-D.PDF</a:t>
          </a:r>
          <a:r>
            <a:rPr lang="en-US" cap="none" sz="1600" b="1" i="0" u="none" baseline="0">
              <a:solidFill>
                <a:srgbClr val="000000"/>
              </a:solidFill>
              <a:latin typeface="Calibri"/>
              <a:ea typeface="Calibri"/>
              <a:cs typeface="Calibri"/>
            </a:rPr>
            <a:t>)</a:t>
          </a:r>
        </a:p>
      </xdr:txBody>
    </xdr:sp>
    <xdr:clientData/>
  </xdr:twoCellAnchor>
  <xdr:twoCellAnchor editAs="absolute">
    <xdr:from>
      <xdr:col>2</xdr:col>
      <xdr:colOff>142875</xdr:colOff>
      <xdr:row>44</xdr:row>
      <xdr:rowOff>123825</xdr:rowOff>
    </xdr:from>
    <xdr:to>
      <xdr:col>20</xdr:col>
      <xdr:colOff>476250</xdr:colOff>
      <xdr:row>48</xdr:row>
      <xdr:rowOff>66675</xdr:rowOff>
    </xdr:to>
    <xdr:sp>
      <xdr:nvSpPr>
        <xdr:cNvPr id="2" name="TextBox 2"/>
        <xdr:cNvSpPr txBox="1">
          <a:spLocks noChangeArrowheads="1"/>
        </xdr:cNvSpPr>
      </xdr:nvSpPr>
      <xdr:spPr>
        <a:xfrm>
          <a:off x="1362075" y="72485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Note1: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twoCellAnchor>
  <xdr:twoCellAnchor editAs="absolute">
    <xdr:from>
      <xdr:col>2</xdr:col>
      <xdr:colOff>114300</xdr:colOff>
      <xdr:row>49</xdr:row>
      <xdr:rowOff>0</xdr:rowOff>
    </xdr:from>
    <xdr:to>
      <xdr:col>20</xdr:col>
      <xdr:colOff>447675</xdr:colOff>
      <xdr:row>52</xdr:row>
      <xdr:rowOff>104775</xdr:rowOff>
    </xdr:to>
    <xdr:sp>
      <xdr:nvSpPr>
        <xdr:cNvPr id="3" name="TextBox 3"/>
        <xdr:cNvSpPr txBox="1">
          <a:spLocks noChangeArrowheads="1"/>
        </xdr:cNvSpPr>
      </xdr:nvSpPr>
      <xdr:spPr>
        <a:xfrm>
          <a:off x="1333500" y="7934325"/>
          <a:ext cx="11306175" cy="590550"/>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Note2: </a:t>
          </a:r>
          <a:r>
            <a:rPr lang="en-US" cap="none" sz="1600" b="1" i="0" u="none" baseline="0">
              <a:solidFill>
                <a:srgbClr val="FF0000"/>
              </a:solidFill>
              <a:latin typeface="Calibri"/>
              <a:ea typeface="Calibri"/>
              <a:cs typeface="Calibri"/>
            </a:rPr>
            <a:t>The</a:t>
          </a:r>
          <a:r>
            <a:rPr lang="en-US" cap="none" sz="1600" b="1" i="0" u="none" baseline="0">
              <a:solidFill>
                <a:srgbClr val="FF0000"/>
              </a:solidFill>
              <a:latin typeface="Calibri"/>
              <a:ea typeface="Calibri"/>
              <a:cs typeface="Calibri"/>
            </a:rPr>
            <a:t> spreadsheets contains bode plots of Plant, Compensator and Open Loop Transfer functions based on "Your selected value" of compensation components, Pout and Vrms,LL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32</xdr:row>
      <xdr:rowOff>0</xdr:rowOff>
    </xdr:from>
    <xdr:to>
      <xdr:col>32</xdr:col>
      <xdr:colOff>361950</xdr:colOff>
      <xdr:row>45</xdr:row>
      <xdr:rowOff>171450</xdr:rowOff>
    </xdr:to>
    <xdr:pic>
      <xdr:nvPicPr>
        <xdr:cNvPr id="1" name="Picture 5"/>
        <xdr:cNvPicPr preferRelativeResize="1">
          <a:picLocks noChangeAspect="1"/>
        </xdr:cNvPicPr>
      </xdr:nvPicPr>
      <xdr:blipFill>
        <a:blip r:embed="rId1"/>
        <a:stretch>
          <a:fillRect/>
        </a:stretch>
      </xdr:blipFill>
      <xdr:spPr>
        <a:xfrm>
          <a:off x="14868525" y="10706100"/>
          <a:ext cx="10772775" cy="4752975"/>
        </a:xfrm>
        <a:prstGeom prst="rect">
          <a:avLst/>
        </a:prstGeom>
        <a:solidFill>
          <a:srgbClr val="FFFFFF"/>
        </a:solidFill>
        <a:ln w="9525" cmpd="sng">
          <a:noFill/>
        </a:ln>
      </xdr:spPr>
    </xdr:pic>
    <xdr:clientData/>
  </xdr:twoCellAnchor>
  <xdr:twoCellAnchor>
    <xdr:from>
      <xdr:col>18</xdr:col>
      <xdr:colOff>428625</xdr:colOff>
      <xdr:row>71</xdr:row>
      <xdr:rowOff>123825</xdr:rowOff>
    </xdr:from>
    <xdr:to>
      <xdr:col>25</xdr:col>
      <xdr:colOff>295275</xdr:colOff>
      <xdr:row>84</xdr:row>
      <xdr:rowOff>238125</xdr:rowOff>
    </xdr:to>
    <xdr:graphicFrame>
      <xdr:nvGraphicFramePr>
        <xdr:cNvPr id="2" name="Chart 1"/>
        <xdr:cNvGraphicFramePr/>
      </xdr:nvGraphicFramePr>
      <xdr:xfrm>
        <a:off x="14868525" y="24679275"/>
        <a:ext cx="6438900" cy="4695825"/>
      </xdr:xfrm>
      <a:graphic>
        <a:graphicData uri="http://schemas.openxmlformats.org/drawingml/2006/chart">
          <c:chart xmlns:c="http://schemas.openxmlformats.org/drawingml/2006/chart" r:id="rId2"/>
        </a:graphicData>
      </a:graphic>
    </xdr:graphicFrame>
    <xdr:clientData/>
  </xdr:twoCellAnchor>
  <xdr:twoCellAnchor>
    <xdr:from>
      <xdr:col>18</xdr:col>
      <xdr:colOff>428625</xdr:colOff>
      <xdr:row>86</xdr:row>
      <xdr:rowOff>228600</xdr:rowOff>
    </xdr:from>
    <xdr:to>
      <xdr:col>25</xdr:col>
      <xdr:colOff>333375</xdr:colOff>
      <xdr:row>100</xdr:row>
      <xdr:rowOff>247650</xdr:rowOff>
    </xdr:to>
    <xdr:graphicFrame>
      <xdr:nvGraphicFramePr>
        <xdr:cNvPr id="3" name="Chart 1"/>
        <xdr:cNvGraphicFramePr/>
      </xdr:nvGraphicFramePr>
      <xdr:xfrm>
        <a:off x="14868525" y="30070425"/>
        <a:ext cx="6477000" cy="4953000"/>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14"/>
        <xdr:cNvSpPr txBox="1">
          <a:spLocks noChangeArrowheads="1"/>
        </xdr:cNvSpPr>
      </xdr:nvSpPr>
      <xdr:spPr>
        <a:xfrm>
          <a:off x="14868525"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923925</xdr:colOff>
      <xdr:row>32</xdr:row>
      <xdr:rowOff>0</xdr:rowOff>
    </xdr:from>
    <xdr:to>
      <xdr:col>33</xdr:col>
      <xdr:colOff>590550</xdr:colOff>
      <xdr:row>46</xdr:row>
      <xdr:rowOff>85725</xdr:rowOff>
    </xdr:to>
    <xdr:pic>
      <xdr:nvPicPr>
        <xdr:cNvPr id="1" name="Picture 4"/>
        <xdr:cNvPicPr preferRelativeResize="1">
          <a:picLocks noChangeAspect="1"/>
        </xdr:cNvPicPr>
      </xdr:nvPicPr>
      <xdr:blipFill>
        <a:blip r:embed="rId1"/>
        <a:stretch>
          <a:fillRect/>
        </a:stretch>
      </xdr:blipFill>
      <xdr:spPr>
        <a:xfrm>
          <a:off x="15306675" y="10706100"/>
          <a:ext cx="10734675" cy="5048250"/>
        </a:xfrm>
        <a:prstGeom prst="rect">
          <a:avLst/>
        </a:prstGeom>
        <a:solidFill>
          <a:srgbClr val="FFFFFF"/>
        </a:solidFill>
        <a:ln w="9525" cmpd="sng">
          <a:noFill/>
        </a:ln>
      </xdr:spPr>
    </xdr:pic>
    <xdr:clientData/>
  </xdr:twoCellAnchor>
  <xdr:twoCellAnchor>
    <xdr:from>
      <xdr:col>18</xdr:col>
      <xdr:colOff>257175</xdr:colOff>
      <xdr:row>73</xdr:row>
      <xdr:rowOff>266700</xdr:rowOff>
    </xdr:from>
    <xdr:to>
      <xdr:col>25</xdr:col>
      <xdr:colOff>428625</xdr:colOff>
      <xdr:row>87</xdr:row>
      <xdr:rowOff>95250</xdr:rowOff>
    </xdr:to>
    <xdr:graphicFrame>
      <xdr:nvGraphicFramePr>
        <xdr:cNvPr id="2" name="Chart 1"/>
        <xdr:cNvGraphicFramePr/>
      </xdr:nvGraphicFramePr>
      <xdr:xfrm>
        <a:off x="14030325" y="25555575"/>
        <a:ext cx="6972300" cy="4762500"/>
      </xdr:xfrm>
      <a:graphic>
        <a:graphicData uri="http://schemas.openxmlformats.org/drawingml/2006/chart">
          <c:chart xmlns:c="http://schemas.openxmlformats.org/drawingml/2006/chart" r:id="rId2"/>
        </a:graphicData>
      </a:graphic>
    </xdr:graphicFrame>
    <xdr:clientData/>
  </xdr:twoCellAnchor>
  <xdr:twoCellAnchor>
    <xdr:from>
      <xdr:col>18</xdr:col>
      <xdr:colOff>257175</xdr:colOff>
      <xdr:row>88</xdr:row>
      <xdr:rowOff>228600</xdr:rowOff>
    </xdr:from>
    <xdr:to>
      <xdr:col>25</xdr:col>
      <xdr:colOff>400050</xdr:colOff>
      <xdr:row>103</xdr:row>
      <xdr:rowOff>190500</xdr:rowOff>
    </xdr:to>
    <xdr:graphicFrame>
      <xdr:nvGraphicFramePr>
        <xdr:cNvPr id="3" name="Chart 1"/>
        <xdr:cNvGraphicFramePr/>
      </xdr:nvGraphicFramePr>
      <xdr:xfrm>
        <a:off x="14030325" y="30803850"/>
        <a:ext cx="6943725" cy="5248275"/>
      </xdr:xfrm>
      <a:graphic>
        <a:graphicData uri="http://schemas.openxmlformats.org/drawingml/2006/chart">
          <c:chart xmlns:c="http://schemas.openxmlformats.org/drawingml/2006/chart" r:id="rId3"/>
        </a:graphicData>
      </a:graphic>
    </xdr:graphicFrame>
    <xdr:clientData/>
  </xdr:twoCellAnchor>
  <xdr:oneCellAnchor>
    <xdr:from>
      <xdr:col>19</xdr:col>
      <xdr:colOff>0</xdr:colOff>
      <xdr:row>12</xdr:row>
      <xdr:rowOff>0</xdr:rowOff>
    </xdr:from>
    <xdr:ext cx="4600575" cy="1095375"/>
    <xdr:sp>
      <xdr:nvSpPr>
        <xdr:cNvPr id="4" name="TextBox 7"/>
        <xdr:cNvSpPr txBox="1">
          <a:spLocks noChangeArrowheads="1"/>
        </xdr:cNvSpPr>
      </xdr:nvSpPr>
      <xdr:spPr>
        <a:xfrm>
          <a:off x="14382750" y="3571875"/>
          <a:ext cx="4600575" cy="1095375"/>
        </a:xfrm>
        <a:prstGeom prst="rect">
          <a:avLst/>
        </a:prstGeom>
        <a:solidFill>
          <a:srgbClr val="FFFF00"/>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Note</a:t>
          </a:r>
          <a:r>
            <a:rPr lang="en-US" cap="none" sz="1600" b="1" i="0"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When you modify the value of an input parameter (yellow boxes), dont forget to review the whole column D  and update the "your selected value" yellow</a:t>
          </a:r>
          <a:r>
            <a:rPr lang="en-US" cap="none" sz="1600" b="1" i="0" u="none" baseline="0">
              <a:solidFill>
                <a:srgbClr val="FF0000"/>
              </a:solidFill>
              <a:latin typeface="Calibri"/>
              <a:ea typeface="Calibri"/>
              <a:cs typeface="Calibri"/>
            </a:rPr>
            <a:t> boxes</a:t>
          </a:r>
          <a:r>
            <a:rPr lang="en-US" cap="none" sz="1600" b="1" i="0" u="none" baseline="0">
              <a:solidFill>
                <a:srgbClr val="FF0000"/>
              </a:solidFill>
              <a:latin typeface="Calibri"/>
              <a:ea typeface="Calibri"/>
              <a:cs typeface="Calibri"/>
            </a:rPr>
            <a:t> inputs.</a:t>
          </a:r>
          <a:r>
            <a:rPr lang="en-US" cap="none" sz="1600" b="1" i="0" u="none" baseline="0">
              <a:solidFill>
                <a:srgbClr val="FF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U42"/>
  <sheetViews>
    <sheetView zoomScalePageLayoutView="0" workbookViewId="0" topLeftCell="B4">
      <selection activeCell="W27" sqref="W27"/>
    </sheetView>
  </sheetViews>
  <sheetFormatPr defaultColWidth="9.140625" defaultRowHeight="12.75"/>
  <sheetData>
    <row r="5" spans="2:21" ht="12.75">
      <c r="B5" s="1"/>
      <c r="C5" s="1"/>
      <c r="D5" s="1"/>
      <c r="E5" s="1"/>
      <c r="F5" s="1"/>
      <c r="G5" s="1"/>
      <c r="H5" s="1"/>
      <c r="I5" s="1"/>
      <c r="J5" s="1"/>
      <c r="K5" s="1"/>
      <c r="L5" s="1"/>
      <c r="M5" s="1"/>
      <c r="N5" s="1"/>
      <c r="O5" s="1"/>
      <c r="P5" s="1"/>
      <c r="Q5" s="1"/>
      <c r="R5" s="1"/>
      <c r="S5" s="1"/>
      <c r="T5" s="1"/>
      <c r="U5" s="1"/>
    </row>
    <row r="6" spans="2:21" ht="12.75">
      <c r="B6" s="1"/>
      <c r="C6" s="1"/>
      <c r="D6" s="1"/>
      <c r="E6" s="1"/>
      <c r="F6" s="1"/>
      <c r="G6" s="1"/>
      <c r="H6" s="1"/>
      <c r="I6" s="1"/>
      <c r="J6" s="1"/>
      <c r="K6" s="1"/>
      <c r="L6" s="1"/>
      <c r="M6" s="1"/>
      <c r="N6" s="1"/>
      <c r="O6" s="1"/>
      <c r="P6" s="1"/>
      <c r="Q6" s="1"/>
      <c r="R6" s="1"/>
      <c r="S6" s="1"/>
      <c r="T6" s="1"/>
      <c r="U6" s="1"/>
    </row>
    <row r="7" spans="2:21" ht="12.75">
      <c r="B7" s="1"/>
      <c r="C7" s="1"/>
      <c r="D7" s="1"/>
      <c r="E7" s="1"/>
      <c r="F7" s="1"/>
      <c r="G7" s="1"/>
      <c r="H7" s="1"/>
      <c r="I7" s="1"/>
      <c r="J7" s="1"/>
      <c r="K7" s="1"/>
      <c r="L7" s="1"/>
      <c r="M7" s="1"/>
      <c r="N7" s="1"/>
      <c r="O7" s="1"/>
      <c r="P7" s="1"/>
      <c r="Q7" s="1"/>
      <c r="R7" s="1"/>
      <c r="S7" s="1"/>
      <c r="T7" s="1"/>
      <c r="U7" s="1"/>
    </row>
    <row r="8" spans="2:21" ht="12.75">
      <c r="B8" s="1"/>
      <c r="C8" s="1"/>
      <c r="D8" s="1"/>
      <c r="E8" s="1"/>
      <c r="F8" s="1"/>
      <c r="G8" s="1"/>
      <c r="H8" s="1"/>
      <c r="I8" s="1"/>
      <c r="J8" s="1"/>
      <c r="K8" s="1"/>
      <c r="L8" s="1"/>
      <c r="M8" s="1"/>
      <c r="N8" s="1"/>
      <c r="O8" s="1"/>
      <c r="P8" s="1"/>
      <c r="Q8" s="1"/>
      <c r="R8" s="1"/>
      <c r="S8" s="1"/>
      <c r="T8" s="1"/>
      <c r="U8" s="1"/>
    </row>
    <row r="9" spans="2:21" ht="12.75">
      <c r="B9" s="1"/>
      <c r="C9" s="1"/>
      <c r="D9" s="1"/>
      <c r="E9" s="1"/>
      <c r="F9" s="1"/>
      <c r="G9" s="1"/>
      <c r="H9" s="1"/>
      <c r="I9" s="1"/>
      <c r="J9" s="1"/>
      <c r="K9" s="1"/>
      <c r="L9" s="1"/>
      <c r="M9" s="1"/>
      <c r="N9" s="1"/>
      <c r="O9" s="1"/>
      <c r="P9" s="1"/>
      <c r="Q9" s="1"/>
      <c r="R9" s="1"/>
      <c r="S9" s="1"/>
      <c r="T9" s="1"/>
      <c r="U9" s="1"/>
    </row>
    <row r="10" spans="2:21" ht="12.75">
      <c r="B10" s="1"/>
      <c r="C10" s="1"/>
      <c r="D10" s="1"/>
      <c r="E10" s="1"/>
      <c r="F10" s="1"/>
      <c r="G10" s="1"/>
      <c r="H10" s="1"/>
      <c r="I10" s="1"/>
      <c r="J10" s="1"/>
      <c r="K10" s="1"/>
      <c r="L10" s="1"/>
      <c r="M10" s="1"/>
      <c r="N10" s="1"/>
      <c r="O10" s="1"/>
      <c r="P10" s="1"/>
      <c r="Q10" s="1"/>
      <c r="R10" s="1"/>
      <c r="S10" s="1"/>
      <c r="T10" s="1"/>
      <c r="U10" s="1"/>
    </row>
    <row r="11" spans="2:21" ht="12.75">
      <c r="B11" s="1"/>
      <c r="C11" s="1"/>
      <c r="D11" s="1"/>
      <c r="E11" s="1"/>
      <c r="F11" s="1"/>
      <c r="G11" s="1"/>
      <c r="H11" s="1"/>
      <c r="I11" s="1"/>
      <c r="J11" s="1"/>
      <c r="K11" s="1"/>
      <c r="L11" s="1"/>
      <c r="M11" s="1"/>
      <c r="N11" s="1"/>
      <c r="O11" s="1"/>
      <c r="P11" s="1"/>
      <c r="Q11" s="1"/>
      <c r="R11" s="1"/>
      <c r="S11" s="1"/>
      <c r="T11" s="1"/>
      <c r="U11" s="1"/>
    </row>
    <row r="12" spans="2:21" ht="12.75">
      <c r="B12" s="1"/>
      <c r="C12" s="1"/>
      <c r="D12" s="1"/>
      <c r="E12" s="1"/>
      <c r="F12" s="1"/>
      <c r="G12" s="1"/>
      <c r="H12" s="1"/>
      <c r="I12" s="1"/>
      <c r="J12" s="1"/>
      <c r="K12" s="1"/>
      <c r="L12" s="1"/>
      <c r="M12" s="1"/>
      <c r="N12" s="1"/>
      <c r="O12" s="1"/>
      <c r="P12" s="1"/>
      <c r="Q12" s="1"/>
      <c r="R12" s="1"/>
      <c r="S12" s="1"/>
      <c r="T12" s="1"/>
      <c r="U12" s="1"/>
    </row>
    <row r="13" spans="2:21" ht="12.75">
      <c r="B13" s="1"/>
      <c r="C13" s="1"/>
      <c r="D13" s="1"/>
      <c r="E13" s="1"/>
      <c r="F13" s="1"/>
      <c r="G13" s="1"/>
      <c r="H13" s="1"/>
      <c r="I13" s="1"/>
      <c r="J13" s="1"/>
      <c r="K13" s="1"/>
      <c r="L13" s="1"/>
      <c r="M13" s="1"/>
      <c r="N13" s="1"/>
      <c r="O13" s="1"/>
      <c r="P13" s="1"/>
      <c r="Q13" s="1"/>
      <c r="R13" s="1"/>
      <c r="S13" s="1"/>
      <c r="T13" s="1"/>
      <c r="U13" s="1"/>
    </row>
    <row r="14" spans="2:21" ht="12.75">
      <c r="B14" s="1"/>
      <c r="C14" s="1"/>
      <c r="D14" s="1"/>
      <c r="E14" s="1"/>
      <c r="F14" s="1"/>
      <c r="G14" s="1"/>
      <c r="H14" s="1"/>
      <c r="I14" s="1"/>
      <c r="J14" s="1"/>
      <c r="K14" s="1"/>
      <c r="L14" s="1"/>
      <c r="M14" s="1"/>
      <c r="N14" s="1"/>
      <c r="O14" s="1"/>
      <c r="P14" s="1"/>
      <c r="Q14" s="1"/>
      <c r="R14" s="1"/>
      <c r="S14" s="1"/>
      <c r="T14" s="1"/>
      <c r="U14" s="1"/>
    </row>
    <row r="15" spans="2:21" ht="12.75">
      <c r="B15" s="1"/>
      <c r="C15" s="1"/>
      <c r="D15" s="1"/>
      <c r="E15" s="1"/>
      <c r="F15" s="1"/>
      <c r="G15" s="1"/>
      <c r="H15" s="1"/>
      <c r="I15" s="1"/>
      <c r="J15" s="1"/>
      <c r="K15" s="1"/>
      <c r="L15" s="1"/>
      <c r="M15" s="1"/>
      <c r="N15" s="1"/>
      <c r="O15" s="1"/>
      <c r="P15" s="1"/>
      <c r="Q15" s="1"/>
      <c r="R15" s="1"/>
      <c r="S15" s="1"/>
      <c r="T15" s="1"/>
      <c r="U15" s="1"/>
    </row>
    <row r="16" spans="2:21" ht="12.75">
      <c r="B16" s="1"/>
      <c r="C16" s="1"/>
      <c r="D16" s="1"/>
      <c r="E16" s="1"/>
      <c r="F16" s="1"/>
      <c r="G16" s="1"/>
      <c r="H16" s="1"/>
      <c r="I16" s="1"/>
      <c r="J16" s="1"/>
      <c r="K16" s="1"/>
      <c r="L16" s="1"/>
      <c r="M16" s="1"/>
      <c r="N16" s="1"/>
      <c r="O16" s="1"/>
      <c r="P16" s="1"/>
      <c r="Q16" s="1"/>
      <c r="R16" s="1"/>
      <c r="S16" s="1"/>
      <c r="T16" s="1"/>
      <c r="U16" s="1"/>
    </row>
    <row r="17" spans="2:21" ht="12.75">
      <c r="B17" s="1"/>
      <c r="C17" s="1"/>
      <c r="D17" s="1"/>
      <c r="E17" s="1"/>
      <c r="F17" s="1"/>
      <c r="G17" s="1"/>
      <c r="H17" s="1"/>
      <c r="I17" s="1"/>
      <c r="J17" s="1"/>
      <c r="K17" s="1"/>
      <c r="L17" s="1"/>
      <c r="M17" s="1"/>
      <c r="N17" s="1"/>
      <c r="O17" s="1"/>
      <c r="P17" s="1"/>
      <c r="Q17" s="1"/>
      <c r="R17" s="1"/>
      <c r="S17" s="1"/>
      <c r="T17" s="1"/>
      <c r="U17" s="1"/>
    </row>
    <row r="18" spans="2:21" ht="12.75">
      <c r="B18" s="1"/>
      <c r="C18" s="1"/>
      <c r="D18" s="1"/>
      <c r="E18" s="1"/>
      <c r="F18" s="1"/>
      <c r="G18" s="1"/>
      <c r="H18" s="1"/>
      <c r="I18" s="1"/>
      <c r="J18" s="1"/>
      <c r="K18" s="1"/>
      <c r="L18" s="1"/>
      <c r="M18" s="1"/>
      <c r="N18" s="1"/>
      <c r="O18" s="1"/>
      <c r="P18" s="1"/>
      <c r="Q18" s="1"/>
      <c r="R18" s="1"/>
      <c r="S18" s="1"/>
      <c r="T18" s="1"/>
      <c r="U18" s="1"/>
    </row>
    <row r="19" spans="2:21" ht="12.75">
      <c r="B19" s="1"/>
      <c r="C19" s="1"/>
      <c r="D19" s="1"/>
      <c r="E19" s="1"/>
      <c r="F19" s="1"/>
      <c r="G19" s="1"/>
      <c r="H19" s="1"/>
      <c r="I19" s="1"/>
      <c r="J19" s="1"/>
      <c r="K19" s="1"/>
      <c r="L19" s="1"/>
      <c r="M19" s="1"/>
      <c r="N19" s="1"/>
      <c r="O19" s="1"/>
      <c r="P19" s="1"/>
      <c r="Q19" s="1"/>
      <c r="R19" s="1"/>
      <c r="S19" s="1"/>
      <c r="T19" s="1"/>
      <c r="U19" s="1"/>
    </row>
    <row r="20" spans="2:21" ht="12.75">
      <c r="B20" s="1"/>
      <c r="C20" s="1"/>
      <c r="D20" s="1"/>
      <c r="E20" s="1"/>
      <c r="F20" s="1"/>
      <c r="G20" s="1"/>
      <c r="H20" s="1"/>
      <c r="I20" s="1"/>
      <c r="J20" s="1"/>
      <c r="K20" s="1"/>
      <c r="L20" s="1"/>
      <c r="M20" s="1"/>
      <c r="N20" s="1"/>
      <c r="O20" s="1"/>
      <c r="P20" s="1"/>
      <c r="Q20" s="1"/>
      <c r="R20" s="1"/>
      <c r="S20" s="1"/>
      <c r="T20" s="1"/>
      <c r="U20" s="1"/>
    </row>
    <row r="21" spans="2:21" ht="12.75">
      <c r="B21" s="1"/>
      <c r="C21" s="1"/>
      <c r="D21" s="1"/>
      <c r="E21" s="1"/>
      <c r="F21" s="1"/>
      <c r="G21" s="1"/>
      <c r="H21" s="1"/>
      <c r="I21" s="1"/>
      <c r="J21" s="1"/>
      <c r="K21" s="1"/>
      <c r="L21" s="1"/>
      <c r="M21" s="1"/>
      <c r="N21" s="1"/>
      <c r="O21" s="1"/>
      <c r="P21" s="1"/>
      <c r="Q21" s="1"/>
      <c r="R21" s="1"/>
      <c r="S21" s="1"/>
      <c r="T21" s="1"/>
      <c r="U21" s="1"/>
    </row>
    <row r="22" spans="2:21" ht="12.75">
      <c r="B22" s="1"/>
      <c r="C22" s="1"/>
      <c r="D22" s="1"/>
      <c r="E22" s="1"/>
      <c r="F22" s="1"/>
      <c r="G22" s="1"/>
      <c r="H22" s="1"/>
      <c r="I22" s="1"/>
      <c r="J22" s="1"/>
      <c r="K22" s="1"/>
      <c r="L22" s="1"/>
      <c r="M22" s="1"/>
      <c r="N22" s="1"/>
      <c r="O22" s="1"/>
      <c r="P22" s="1"/>
      <c r="Q22" s="1"/>
      <c r="R22" s="1"/>
      <c r="S22" s="1"/>
      <c r="T22" s="1"/>
      <c r="U22" s="1"/>
    </row>
    <row r="23" spans="2:21" ht="12.75">
      <c r="B23" s="1"/>
      <c r="C23" s="1"/>
      <c r="D23" s="1"/>
      <c r="E23" s="1"/>
      <c r="F23" s="1"/>
      <c r="G23" s="1"/>
      <c r="H23" s="1"/>
      <c r="I23" s="1"/>
      <c r="J23" s="1"/>
      <c r="K23" s="1"/>
      <c r="L23" s="1"/>
      <c r="M23" s="1"/>
      <c r="N23" s="1"/>
      <c r="O23" s="1"/>
      <c r="P23" s="1"/>
      <c r="Q23" s="1"/>
      <c r="R23" s="1"/>
      <c r="S23" s="1"/>
      <c r="T23" s="1"/>
      <c r="U23" s="1"/>
    </row>
    <row r="24" spans="2:21" ht="12.75">
      <c r="B24" s="1"/>
      <c r="C24" s="1"/>
      <c r="D24" s="1"/>
      <c r="E24" s="1"/>
      <c r="F24" s="1"/>
      <c r="G24" s="1"/>
      <c r="H24" s="1"/>
      <c r="I24" s="1"/>
      <c r="J24" s="1"/>
      <c r="K24" s="1"/>
      <c r="L24" s="1"/>
      <c r="M24" s="1"/>
      <c r="N24" s="1"/>
      <c r="O24" s="1"/>
      <c r="P24" s="1"/>
      <c r="Q24" s="1"/>
      <c r="R24" s="1"/>
      <c r="S24" s="1"/>
      <c r="T24" s="1"/>
      <c r="U24" s="1"/>
    </row>
    <row r="25" spans="2:21" ht="12.75">
      <c r="B25" s="1"/>
      <c r="C25" s="1"/>
      <c r="D25" s="1"/>
      <c r="E25" s="1"/>
      <c r="F25" s="1"/>
      <c r="G25" s="1"/>
      <c r="H25" s="1"/>
      <c r="I25" s="1"/>
      <c r="J25" s="1"/>
      <c r="K25" s="1"/>
      <c r="L25" s="1"/>
      <c r="M25" s="1"/>
      <c r="N25" s="1"/>
      <c r="O25" s="1"/>
      <c r="P25" s="1"/>
      <c r="Q25" s="1"/>
      <c r="R25" s="1"/>
      <c r="S25" s="1"/>
      <c r="T25" s="1"/>
      <c r="U25" s="1"/>
    </row>
    <row r="26" spans="2:21" ht="12.75">
      <c r="B26" s="1"/>
      <c r="C26" s="1"/>
      <c r="D26" s="1"/>
      <c r="E26" s="1"/>
      <c r="F26" s="1"/>
      <c r="G26" s="1"/>
      <c r="H26" s="1"/>
      <c r="I26" s="1"/>
      <c r="J26" s="1"/>
      <c r="K26" s="1"/>
      <c r="L26" s="1"/>
      <c r="M26" s="1"/>
      <c r="N26" s="1"/>
      <c r="O26" s="1"/>
      <c r="P26" s="1"/>
      <c r="Q26" s="1"/>
      <c r="R26" s="1"/>
      <c r="S26" s="1"/>
      <c r="T26" s="1"/>
      <c r="U26" s="1"/>
    </row>
    <row r="27" spans="2:21" ht="12.75">
      <c r="B27" s="1"/>
      <c r="C27" s="1"/>
      <c r="D27" s="1"/>
      <c r="E27" s="1"/>
      <c r="F27" s="1"/>
      <c r="G27" s="1"/>
      <c r="H27" s="1"/>
      <c r="I27" s="1"/>
      <c r="J27" s="1"/>
      <c r="K27" s="1"/>
      <c r="L27" s="1"/>
      <c r="M27" s="1"/>
      <c r="N27" s="1"/>
      <c r="O27" s="1"/>
      <c r="P27" s="1"/>
      <c r="Q27" s="1"/>
      <c r="R27" s="1"/>
      <c r="S27" s="1"/>
      <c r="T27" s="1"/>
      <c r="U27" s="1"/>
    </row>
    <row r="28" spans="2:21" ht="12.75">
      <c r="B28" s="1"/>
      <c r="C28" s="1"/>
      <c r="D28" s="1"/>
      <c r="E28" s="1"/>
      <c r="F28" s="1"/>
      <c r="G28" s="1"/>
      <c r="H28" s="1"/>
      <c r="I28" s="1"/>
      <c r="J28" s="1"/>
      <c r="K28" s="1"/>
      <c r="L28" s="1"/>
      <c r="M28" s="1"/>
      <c r="N28" s="1"/>
      <c r="O28" s="1"/>
      <c r="P28" s="1"/>
      <c r="Q28" s="1"/>
      <c r="R28" s="1"/>
      <c r="S28" s="1"/>
      <c r="T28" s="1"/>
      <c r="U28" s="1"/>
    </row>
    <row r="29" spans="2:21" ht="12.75">
      <c r="B29" s="1"/>
      <c r="C29" s="1"/>
      <c r="D29" s="1"/>
      <c r="E29" s="1"/>
      <c r="F29" s="1"/>
      <c r="G29" s="1"/>
      <c r="H29" s="1"/>
      <c r="I29" s="1"/>
      <c r="J29" s="1"/>
      <c r="K29" s="1"/>
      <c r="L29" s="1"/>
      <c r="M29" s="1"/>
      <c r="N29" s="1"/>
      <c r="O29" s="1"/>
      <c r="P29" s="1"/>
      <c r="Q29" s="1"/>
      <c r="R29" s="1"/>
      <c r="S29" s="1"/>
      <c r="T29" s="1"/>
      <c r="U29" s="1"/>
    </row>
    <row r="30" spans="2:21" ht="12.75">
      <c r="B30" s="1"/>
      <c r="C30" s="1"/>
      <c r="D30" s="1"/>
      <c r="E30" s="1"/>
      <c r="F30" s="1"/>
      <c r="G30" s="1"/>
      <c r="H30" s="1"/>
      <c r="I30" s="1"/>
      <c r="J30" s="1"/>
      <c r="K30" s="1"/>
      <c r="L30" s="1"/>
      <c r="M30" s="1"/>
      <c r="N30" s="1"/>
      <c r="O30" s="1"/>
      <c r="P30" s="1"/>
      <c r="Q30" s="1"/>
      <c r="R30" s="1"/>
      <c r="S30" s="1"/>
      <c r="T30" s="1"/>
      <c r="U30" s="1"/>
    </row>
    <row r="31" spans="2:21" ht="12.75">
      <c r="B31" s="1"/>
      <c r="C31" s="1"/>
      <c r="D31" s="1"/>
      <c r="E31" s="1"/>
      <c r="F31" s="1"/>
      <c r="G31" s="1"/>
      <c r="H31" s="1"/>
      <c r="I31" s="1"/>
      <c r="J31" s="1"/>
      <c r="K31" s="1"/>
      <c r="L31" s="1"/>
      <c r="M31" s="1"/>
      <c r="N31" s="1"/>
      <c r="O31" s="1"/>
      <c r="P31" s="1"/>
      <c r="Q31" s="1"/>
      <c r="R31" s="1"/>
      <c r="S31" s="1"/>
      <c r="T31" s="1"/>
      <c r="U31" s="1"/>
    </row>
    <row r="32" spans="2:21" ht="12.75">
      <c r="B32" s="1"/>
      <c r="C32" s="1"/>
      <c r="D32" s="1"/>
      <c r="E32" s="1"/>
      <c r="F32" s="1"/>
      <c r="G32" s="1"/>
      <c r="H32" s="1"/>
      <c r="I32" s="1"/>
      <c r="J32" s="1"/>
      <c r="K32" s="1"/>
      <c r="L32" s="1"/>
      <c r="M32" s="1"/>
      <c r="N32" s="1"/>
      <c r="O32" s="1"/>
      <c r="P32" s="1"/>
      <c r="Q32" s="1"/>
      <c r="R32" s="1"/>
      <c r="S32" s="1"/>
      <c r="T32" s="1"/>
      <c r="U32" s="1"/>
    </row>
    <row r="33" spans="2:21" ht="12.75">
      <c r="B33" s="1"/>
      <c r="C33" s="1"/>
      <c r="D33" s="1"/>
      <c r="E33" s="1"/>
      <c r="F33" s="1"/>
      <c r="G33" s="1"/>
      <c r="H33" s="1"/>
      <c r="I33" s="1"/>
      <c r="J33" s="1"/>
      <c r="K33" s="1"/>
      <c r="L33" s="1"/>
      <c r="M33" s="1"/>
      <c r="N33" s="1"/>
      <c r="O33" s="1"/>
      <c r="P33" s="1"/>
      <c r="Q33" s="1"/>
      <c r="R33" s="1"/>
      <c r="S33" s="1"/>
      <c r="T33" s="1"/>
      <c r="U33" s="1"/>
    </row>
    <row r="34" spans="2:21" ht="12.75">
      <c r="B34" s="1"/>
      <c r="C34" s="1"/>
      <c r="D34" s="1"/>
      <c r="E34" s="1"/>
      <c r="F34" s="1"/>
      <c r="G34" s="1"/>
      <c r="H34" s="1"/>
      <c r="I34" s="1"/>
      <c r="J34" s="1"/>
      <c r="K34" s="1"/>
      <c r="L34" s="1"/>
      <c r="M34" s="1"/>
      <c r="N34" s="1"/>
      <c r="O34" s="1"/>
      <c r="P34" s="1"/>
      <c r="Q34" s="1"/>
      <c r="R34" s="1"/>
      <c r="S34" s="1"/>
      <c r="T34" s="1"/>
      <c r="U34" s="1"/>
    </row>
    <row r="35" spans="2:21" ht="12.75">
      <c r="B35" s="1"/>
      <c r="C35" s="1"/>
      <c r="D35" s="1"/>
      <c r="E35" s="1"/>
      <c r="F35" s="1"/>
      <c r="G35" s="1"/>
      <c r="H35" s="1"/>
      <c r="I35" s="1"/>
      <c r="J35" s="1"/>
      <c r="K35" s="1"/>
      <c r="L35" s="1"/>
      <c r="M35" s="1"/>
      <c r="N35" s="1"/>
      <c r="O35" s="1"/>
      <c r="P35" s="1"/>
      <c r="Q35" s="1"/>
      <c r="R35" s="1"/>
      <c r="S35" s="1"/>
      <c r="T35" s="1"/>
      <c r="U35" s="1"/>
    </row>
    <row r="36" spans="2:21" ht="12.75">
      <c r="B36" s="1"/>
      <c r="C36" s="1"/>
      <c r="D36" s="1"/>
      <c r="E36" s="1"/>
      <c r="F36" s="1"/>
      <c r="G36" s="1"/>
      <c r="H36" s="1"/>
      <c r="I36" s="1"/>
      <c r="J36" s="1"/>
      <c r="K36" s="1"/>
      <c r="L36" s="1"/>
      <c r="M36" s="1"/>
      <c r="N36" s="1"/>
      <c r="O36" s="1"/>
      <c r="P36" s="1"/>
      <c r="Q36" s="1"/>
      <c r="R36" s="1"/>
      <c r="S36" s="1"/>
      <c r="T36" s="1"/>
      <c r="U36" s="1"/>
    </row>
    <row r="37" spans="2:21" ht="12.75">
      <c r="B37" s="1"/>
      <c r="C37" s="1"/>
      <c r="D37" s="1"/>
      <c r="E37" s="1"/>
      <c r="F37" s="1"/>
      <c r="G37" s="1"/>
      <c r="H37" s="1"/>
      <c r="I37" s="1"/>
      <c r="J37" s="1"/>
      <c r="K37" s="1"/>
      <c r="L37" s="1"/>
      <c r="M37" s="1"/>
      <c r="N37" s="1"/>
      <c r="O37" s="1"/>
      <c r="P37" s="1"/>
      <c r="Q37" s="1"/>
      <c r="R37" s="1"/>
      <c r="S37" s="1"/>
      <c r="T37" s="1"/>
      <c r="U37" s="1"/>
    </row>
    <row r="38" spans="2:21" ht="12.75">
      <c r="B38" s="1"/>
      <c r="C38" s="1"/>
      <c r="D38" s="1"/>
      <c r="E38" s="1"/>
      <c r="F38" s="1"/>
      <c r="G38" s="1"/>
      <c r="H38" s="1"/>
      <c r="I38" s="1"/>
      <c r="J38" s="1"/>
      <c r="K38" s="1"/>
      <c r="L38" s="1"/>
      <c r="M38" s="1"/>
      <c r="N38" s="1"/>
      <c r="O38" s="1"/>
      <c r="P38" s="1"/>
      <c r="Q38" s="1"/>
      <c r="R38" s="1"/>
      <c r="S38" s="1"/>
      <c r="T38" s="1"/>
      <c r="U38" s="1"/>
    </row>
    <row r="39" spans="2:21" ht="12.75">
      <c r="B39" s="1"/>
      <c r="C39" s="1"/>
      <c r="D39" s="1"/>
      <c r="E39" s="1"/>
      <c r="F39" s="1"/>
      <c r="G39" s="1"/>
      <c r="H39" s="1"/>
      <c r="I39" s="1"/>
      <c r="J39" s="1"/>
      <c r="K39" s="1"/>
      <c r="L39" s="1"/>
      <c r="M39" s="1"/>
      <c r="N39" s="1"/>
      <c r="O39" s="1"/>
      <c r="P39" s="1"/>
      <c r="Q39" s="1"/>
      <c r="R39" s="1"/>
      <c r="S39" s="1"/>
      <c r="T39" s="1"/>
      <c r="U39" s="1"/>
    </row>
    <row r="40" spans="2:21" ht="12.75">
      <c r="B40" s="1"/>
      <c r="C40" s="1"/>
      <c r="D40" s="1"/>
      <c r="E40" s="1"/>
      <c r="F40" s="1"/>
      <c r="G40" s="1"/>
      <c r="H40" s="1"/>
      <c r="I40" s="1"/>
      <c r="J40" s="1"/>
      <c r="K40" s="1"/>
      <c r="L40" s="1"/>
      <c r="M40" s="1"/>
      <c r="N40" s="1"/>
      <c r="O40" s="1"/>
      <c r="P40" s="1"/>
      <c r="Q40" s="1"/>
      <c r="R40" s="1"/>
      <c r="S40" s="1"/>
      <c r="T40" s="1"/>
      <c r="U40" s="1"/>
    </row>
    <row r="41" spans="2:21" ht="12.75">
      <c r="B41" s="1"/>
      <c r="C41" s="1"/>
      <c r="D41" s="1"/>
      <c r="E41" s="1"/>
      <c r="F41" s="1"/>
      <c r="G41" s="1"/>
      <c r="H41" s="1"/>
      <c r="I41" s="1"/>
      <c r="J41" s="1"/>
      <c r="K41" s="1"/>
      <c r="L41" s="1"/>
      <c r="M41" s="1"/>
      <c r="N41" s="1"/>
      <c r="O41" s="1"/>
      <c r="P41" s="1"/>
      <c r="Q41" s="1"/>
      <c r="R41" s="1"/>
      <c r="S41" s="1"/>
      <c r="T41" s="1"/>
      <c r="U41" s="1"/>
    </row>
    <row r="42" spans="2:21" ht="12.75">
      <c r="B42" s="1"/>
      <c r="C42" s="17"/>
      <c r="D42" s="1"/>
      <c r="E42" s="1"/>
      <c r="F42" s="1"/>
      <c r="G42" s="1"/>
      <c r="H42" s="1"/>
      <c r="I42" s="1"/>
      <c r="J42" s="1"/>
      <c r="K42" s="1"/>
      <c r="L42" s="1"/>
      <c r="M42" s="1"/>
      <c r="N42" s="1"/>
      <c r="O42" s="1"/>
      <c r="P42" s="1"/>
      <c r="Q42" s="1"/>
      <c r="R42" s="1"/>
      <c r="S42" s="1"/>
      <c r="T42" s="1"/>
      <c r="U42" s="1"/>
    </row>
  </sheetData>
  <sheetProtection password="D4C3" sheet="1"/>
  <printOptions/>
  <pageMargins left="0.7" right="0.7" top="0.75" bottom="0.75" header="0.3" footer="0.3"/>
  <pageSetup horizontalDpi="600" verticalDpi="600" orientation="portrait" paperSize="66" r:id="rId2"/>
  <drawing r:id="rId1"/>
</worksheet>
</file>

<file path=xl/worksheets/sheet2.xml><?xml version="1.0" encoding="utf-8"?>
<worksheet xmlns="http://schemas.openxmlformats.org/spreadsheetml/2006/main" xmlns:r="http://schemas.openxmlformats.org/officeDocument/2006/relationships">
  <dimension ref="B2:AR192"/>
  <sheetViews>
    <sheetView zoomScale="115" zoomScaleNormal="115" workbookViewId="0" topLeftCell="K2">
      <selection activeCell="T5" sqref="T5"/>
    </sheetView>
  </sheetViews>
  <sheetFormatPr defaultColWidth="9.140625" defaultRowHeight="12.75"/>
  <cols>
    <col min="1" max="1" width="4.140625" style="20" customWidth="1"/>
    <col min="2" max="2" width="21.140625" style="4" customWidth="1"/>
    <col min="3" max="3" width="9.140625" style="4" customWidth="1"/>
    <col min="4" max="4" width="16.57421875" style="4" customWidth="1"/>
    <col min="5" max="12" width="9.140625" style="20" customWidth="1"/>
    <col min="13" max="13" width="9.140625" style="1" customWidth="1"/>
    <col min="14" max="15" width="9.140625" style="20" customWidth="1"/>
    <col min="16" max="16" width="15.421875" style="20" bestFit="1" customWidth="1"/>
    <col min="17" max="17" width="40.421875" style="20" customWidth="1"/>
    <col min="18" max="18" width="9.140625" style="20" customWidth="1"/>
    <col min="19" max="19" width="6.421875" style="20" customWidth="1"/>
    <col min="20" max="20" width="16.8515625" style="20" customWidth="1"/>
    <col min="21" max="21" width="15.140625" style="20" customWidth="1"/>
    <col min="22" max="22" width="17.00390625" style="20" customWidth="1"/>
    <col min="23" max="23" width="16.28125" style="20" customWidth="1"/>
    <col min="24" max="24" width="17.7109375" style="20" customWidth="1"/>
    <col min="25" max="35" width="9.140625" style="20" customWidth="1"/>
    <col min="36" max="36" width="7.7109375" style="21" customWidth="1"/>
    <col min="37" max="37" width="7.7109375" style="22" customWidth="1"/>
    <col min="38" max="38" width="13.00390625" style="20" customWidth="1"/>
    <col min="39" max="39" width="20.140625" style="20" customWidth="1"/>
    <col min="40" max="40" width="22.00390625" style="20" customWidth="1"/>
    <col min="41" max="41" width="27.140625" style="20" customWidth="1"/>
    <col min="42" max="42" width="27.421875" style="20" customWidth="1"/>
    <col min="43" max="43" width="15.00390625" style="20" customWidth="1"/>
    <col min="44" max="44" width="22.8515625" style="20" customWidth="1"/>
    <col min="45" max="16384" width="9.140625" style="20" customWidth="1"/>
  </cols>
  <sheetData>
    <row r="1" ht="15.75" customHeight="1" thickBot="1"/>
    <row r="2" spans="2:37" s="1" customFormat="1" ht="30.75" thickBot="1">
      <c r="B2" s="23"/>
      <c r="C2" s="24"/>
      <c r="D2" s="15" t="s">
        <v>74</v>
      </c>
      <c r="E2" s="25"/>
      <c r="F2" s="25"/>
      <c r="G2" s="25"/>
      <c r="H2" s="25"/>
      <c r="I2" s="25"/>
      <c r="J2" s="25"/>
      <c r="K2" s="25"/>
      <c r="L2" s="25"/>
      <c r="M2" s="26"/>
      <c r="N2" s="25"/>
      <c r="O2" s="25"/>
      <c r="P2" s="25"/>
      <c r="Q2" s="25"/>
      <c r="R2" s="25"/>
      <c r="S2" s="25"/>
      <c r="T2" s="25"/>
      <c r="U2" s="25"/>
      <c r="V2" s="27"/>
      <c r="AJ2" s="21"/>
      <c r="AK2" s="22"/>
    </row>
    <row r="3" ht="8.25" customHeight="1"/>
    <row r="4" ht="8.25" customHeight="1">
      <c r="B4" s="20"/>
    </row>
    <row r="5" spans="2:22" ht="24" customHeight="1">
      <c r="B5" s="4" t="s">
        <v>0</v>
      </c>
      <c r="T5" s="28" t="s">
        <v>219</v>
      </c>
      <c r="U5" s="29"/>
      <c r="V5" s="29"/>
    </row>
    <row r="6" spans="2:15" ht="27.75">
      <c r="B6" s="30" t="s">
        <v>78</v>
      </c>
      <c r="C6" s="31" t="s">
        <v>9</v>
      </c>
      <c r="D6" s="2">
        <v>50</v>
      </c>
      <c r="E6" s="32" t="s">
        <v>10</v>
      </c>
      <c r="N6"/>
      <c r="O6"/>
    </row>
    <row r="7" spans="2:15" ht="27.75">
      <c r="B7" s="30" t="s">
        <v>159</v>
      </c>
      <c r="C7" s="31" t="s">
        <v>3</v>
      </c>
      <c r="D7" s="2">
        <v>90</v>
      </c>
      <c r="E7" s="33" t="s">
        <v>143</v>
      </c>
      <c r="F7" s="34"/>
      <c r="G7" s="34"/>
      <c r="H7" s="34"/>
      <c r="I7" s="34"/>
      <c r="J7" s="34"/>
      <c r="K7" s="34"/>
      <c r="L7" s="34"/>
      <c r="M7" s="35"/>
      <c r="N7"/>
      <c r="O7"/>
    </row>
    <row r="8" spans="2:15" ht="27.75">
      <c r="B8" s="30" t="s">
        <v>160</v>
      </c>
      <c r="C8" s="31" t="s">
        <v>3</v>
      </c>
      <c r="D8" s="2">
        <v>265</v>
      </c>
      <c r="E8" s="33" t="s">
        <v>144</v>
      </c>
      <c r="F8" s="34"/>
      <c r="G8" s="34"/>
      <c r="H8" s="34"/>
      <c r="I8" s="34"/>
      <c r="J8" s="34"/>
      <c r="K8" s="34"/>
      <c r="L8" s="34"/>
      <c r="M8" s="35"/>
      <c r="N8"/>
      <c r="O8"/>
    </row>
    <row r="9" spans="2:21" ht="27.75">
      <c r="B9" s="30" t="s">
        <v>79</v>
      </c>
      <c r="C9" s="31" t="s">
        <v>3</v>
      </c>
      <c r="D9" s="2">
        <v>390</v>
      </c>
      <c r="E9" s="33" t="s">
        <v>145</v>
      </c>
      <c r="F9" s="34"/>
      <c r="G9" s="34"/>
      <c r="H9" s="34"/>
      <c r="I9" s="34"/>
      <c r="J9" s="34"/>
      <c r="K9" s="34"/>
      <c r="L9" s="34"/>
      <c r="M9" s="35"/>
      <c r="N9"/>
      <c r="O9"/>
      <c r="Q9" s="18" t="str">
        <f>IF(D9&lt;=1.414*D8,"Vout is too low!"," ")</f>
        <v> </v>
      </c>
      <c r="T9" s="36"/>
      <c r="U9" s="37" t="s">
        <v>13</v>
      </c>
    </row>
    <row r="10" spans="2:21" ht="27.75">
      <c r="B10" s="30" t="s">
        <v>1</v>
      </c>
      <c r="C10" s="31" t="s">
        <v>4</v>
      </c>
      <c r="D10" s="2">
        <v>95</v>
      </c>
      <c r="E10" s="33" t="s">
        <v>146</v>
      </c>
      <c r="F10" s="34"/>
      <c r="G10" s="34"/>
      <c r="H10" s="34"/>
      <c r="I10" s="34"/>
      <c r="J10" s="34"/>
      <c r="K10" s="34"/>
      <c r="L10" s="34"/>
      <c r="M10" s="35"/>
      <c r="N10"/>
      <c r="O10"/>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N11"/>
      <c r="O11"/>
      <c r="T11" s="8"/>
      <c r="U11" s="37" t="s">
        <v>165</v>
      </c>
    </row>
    <row r="12" spans="2:15" ht="27.75">
      <c r="B12" s="30" t="s">
        <v>81</v>
      </c>
      <c r="C12" s="31" t="s">
        <v>124</v>
      </c>
      <c r="D12" s="2">
        <v>0.25</v>
      </c>
      <c r="E12" s="33" t="s">
        <v>147</v>
      </c>
      <c r="F12" s="34"/>
      <c r="G12" s="34"/>
      <c r="H12" s="34"/>
      <c r="I12" s="34"/>
      <c r="J12" s="34"/>
      <c r="K12" s="34"/>
      <c r="L12" s="34"/>
      <c r="M12" s="35"/>
      <c r="N12"/>
      <c r="O12"/>
    </row>
    <row r="13" spans="2:17" ht="27.75">
      <c r="B13" s="30" t="s">
        <v>82</v>
      </c>
      <c r="C13" s="31" t="s">
        <v>8</v>
      </c>
      <c r="D13" s="2">
        <v>0</v>
      </c>
      <c r="E13" s="33" t="s">
        <v>20</v>
      </c>
      <c r="F13" s="34"/>
      <c r="G13" s="34"/>
      <c r="H13" s="34"/>
      <c r="I13" s="34"/>
      <c r="J13" s="34"/>
      <c r="K13" s="34"/>
      <c r="L13" s="34"/>
      <c r="M13" s="35"/>
      <c r="N13"/>
      <c r="O13"/>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N14"/>
      <c r="O14"/>
      <c r="Q14" s="38" t="str">
        <f>IF(D14&lt;1.414*D7,"choose (Vout)min between 1.414*VacLL and Vout(nom)",IF(D14&gt;=D9,"choose (Vout)min between 1.414*VacLL and Vout(nom)"," "))</f>
        <v> </v>
      </c>
    </row>
    <row r="15" spans="2:15" ht="27.75">
      <c r="B15" s="30" t="s">
        <v>84</v>
      </c>
      <c r="C15" s="31" t="s">
        <v>4</v>
      </c>
      <c r="D15" s="2">
        <v>7</v>
      </c>
      <c r="E15" s="33" t="s">
        <v>148</v>
      </c>
      <c r="F15" s="34"/>
      <c r="G15" s="34"/>
      <c r="H15" s="34"/>
      <c r="I15" s="34"/>
      <c r="J15" s="34"/>
      <c r="K15" s="34"/>
      <c r="L15" s="34"/>
      <c r="M15" s="35"/>
      <c r="N15"/>
      <c r="O15"/>
    </row>
    <row r="16" spans="2:17" ht="27.75">
      <c r="B16" s="30" t="s">
        <v>85</v>
      </c>
      <c r="C16" s="31" t="s">
        <v>9</v>
      </c>
      <c r="D16" s="2">
        <v>10</v>
      </c>
      <c r="E16" s="33" t="s">
        <v>22</v>
      </c>
      <c r="F16" s="34"/>
      <c r="G16" s="34"/>
      <c r="H16" s="34"/>
      <c r="I16" s="34"/>
      <c r="J16" s="34"/>
      <c r="K16" s="34"/>
      <c r="L16" s="34"/>
      <c r="M16" s="35"/>
      <c r="N16"/>
      <c r="O16"/>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N17"/>
      <c r="O17"/>
      <c r="Q17" s="38" t="str">
        <f>IF(D17&lt;30,"the chosen phase margin is very low!",IF(D17&gt;90,"the chosen phase margin is too high!"," "))</f>
        <v> </v>
      </c>
    </row>
    <row r="18" spans="2:15" ht="27.75">
      <c r="B18" s="30"/>
      <c r="C18" s="31"/>
      <c r="D18" s="31"/>
      <c r="E18" s="33"/>
      <c r="F18" s="34"/>
      <c r="G18" s="34"/>
      <c r="H18" s="34"/>
      <c r="I18" s="34"/>
      <c r="J18" s="34"/>
      <c r="K18" s="34"/>
      <c r="L18" s="34"/>
      <c r="M18" s="35"/>
      <c r="N18"/>
      <c r="O18"/>
    </row>
    <row r="19" spans="2:15" ht="27.75">
      <c r="B19" s="30" t="s">
        <v>38</v>
      </c>
      <c r="C19" s="31" t="s">
        <v>25</v>
      </c>
      <c r="D19" s="3" t="s">
        <v>39</v>
      </c>
      <c r="E19" s="40" t="s">
        <v>187</v>
      </c>
      <c r="N19"/>
      <c r="O19"/>
    </row>
    <row r="20" spans="2:15" ht="27.75">
      <c r="B20" s="30" t="s">
        <v>87</v>
      </c>
      <c r="C20" s="31" t="s">
        <v>125</v>
      </c>
      <c r="D20" s="13">
        <f>0.8*VLOOKUP(D19,T51:X59,4)</f>
        <v>10</v>
      </c>
      <c r="E20" s="33" t="s">
        <v>166</v>
      </c>
      <c r="F20" s="34"/>
      <c r="G20" s="34"/>
      <c r="H20" s="34"/>
      <c r="I20" s="34"/>
      <c r="J20" s="34"/>
      <c r="K20" s="34"/>
      <c r="L20" s="34"/>
      <c r="M20" s="35"/>
      <c r="N20"/>
      <c r="O20"/>
    </row>
    <row r="21" spans="2:15" ht="27.75">
      <c r="B21" s="30"/>
      <c r="C21" s="31"/>
      <c r="D21" s="5"/>
      <c r="E21" s="33"/>
      <c r="F21" s="34"/>
      <c r="G21" s="34"/>
      <c r="H21" s="34"/>
      <c r="I21" s="34"/>
      <c r="J21" s="34"/>
      <c r="K21" s="34"/>
      <c r="L21" s="34"/>
      <c r="M21" s="35"/>
      <c r="N21"/>
      <c r="O21"/>
    </row>
    <row r="22" spans="2:15" ht="27.75">
      <c r="B22" s="41" t="s">
        <v>23</v>
      </c>
      <c r="E22" s="40"/>
      <c r="N22"/>
      <c r="O22"/>
    </row>
    <row r="23" spans="2:15" ht="27.75">
      <c r="B23" s="30" t="s">
        <v>88</v>
      </c>
      <c r="C23" s="31" t="s">
        <v>126</v>
      </c>
      <c r="D23" s="11">
        <f>MAX((D11/D15/6.28/D6/D9/D9)*100000000,(2*D11*D13*0.001/(D9*D9-D14*D14))*1000000)</f>
        <v>47.85894055859759</v>
      </c>
      <c r="E23" s="33" t="s">
        <v>26</v>
      </c>
      <c r="N23"/>
      <c r="O23"/>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186</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69"/>
      <c r="AN28" s="70" t="s">
        <v>174</v>
      </c>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AL30" s="71"/>
      <c r="AM30" s="80" t="s">
        <v>168</v>
      </c>
      <c r="AN30" s="81"/>
      <c r="AO30" s="80" t="s">
        <v>169</v>
      </c>
      <c r="AP30" s="81"/>
      <c r="AQ30" s="80" t="s">
        <v>170</v>
      </c>
      <c r="AR30" s="81"/>
    </row>
    <row r="31" spans="2:44" ht="27.75">
      <c r="B31" s="30"/>
      <c r="C31" s="31"/>
      <c r="E31" s="33"/>
      <c r="AK31" s="43"/>
      <c r="AL31" s="71" t="s">
        <v>167</v>
      </c>
      <c r="AM31" s="72" t="s">
        <v>171</v>
      </c>
      <c r="AN31" s="72" t="s">
        <v>172</v>
      </c>
      <c r="AO31" s="72" t="s">
        <v>175</v>
      </c>
      <c r="AP31" s="72" t="s">
        <v>176</v>
      </c>
      <c r="AQ31" s="72" t="s">
        <v>177</v>
      </c>
      <c r="AR31" s="72" t="s">
        <v>178</v>
      </c>
    </row>
    <row r="32" spans="2:44" ht="27.75">
      <c r="B32" s="44"/>
      <c r="S32" s="29"/>
      <c r="T32" s="29"/>
      <c r="U32" s="29"/>
      <c r="V32" s="29"/>
      <c r="W32" s="29"/>
      <c r="X32" s="45" t="s">
        <v>76</v>
      </c>
      <c r="Y32" s="29"/>
      <c r="Z32" s="29"/>
      <c r="AA32" s="29"/>
      <c r="AB32" s="29"/>
      <c r="AC32" s="29"/>
      <c r="AD32" s="29"/>
      <c r="AE32" s="29"/>
      <c r="AF32" s="29"/>
      <c r="AG32" s="29"/>
      <c r="AH32" s="29"/>
      <c r="AK32" s="46"/>
      <c r="AL32" s="73">
        <v>0.001</v>
      </c>
      <c r="AM32" s="74">
        <f>20*LOG10(D$59/SQRT(1+(AL32/D$55)^2))</f>
        <v>44.679542726023385</v>
      </c>
      <c r="AN32" s="75">
        <f>-(180/3.14)*ATAN(AL32/D$55)</f>
        <v>-0.020533499121823225</v>
      </c>
      <c r="AO32" s="74">
        <f>-20*LOG10(AL32/D$56)+20*LOG10(SQRT(1+(AL32/D$57)^2))-20*LOG10(SQRT(1+(AL32/D$58)^2))</f>
        <v>35.16991583961781</v>
      </c>
      <c r="AP32" s="74">
        <f>-90+(180/3.14)*ATAN(AL32/D$57)-(180/3.14)*ATAN(AL32/D$58)+180</f>
        <v>90.0200224705548</v>
      </c>
      <c r="AQ32" s="74">
        <f>AM32+AO32</f>
        <v>79.84945856564119</v>
      </c>
      <c r="AR32" s="75">
        <f>AN32+AP32</f>
        <v>89.99948897143298</v>
      </c>
    </row>
    <row r="33" spans="2:44" ht="27.75">
      <c r="B33" s="41" t="s">
        <v>33</v>
      </c>
      <c r="S33" s="29"/>
      <c r="T33" s="29"/>
      <c r="U33" s="29"/>
      <c r="V33" s="29"/>
      <c r="W33" s="29"/>
      <c r="X33" s="29"/>
      <c r="Y33" s="29"/>
      <c r="Z33" s="29"/>
      <c r="AA33" s="29"/>
      <c r="AB33" s="29"/>
      <c r="AC33" s="29"/>
      <c r="AD33" s="29"/>
      <c r="AE33" s="29"/>
      <c r="AF33" s="29"/>
      <c r="AG33" s="29"/>
      <c r="AH33" s="29"/>
      <c r="AK33" s="46"/>
      <c r="AL33" s="73">
        <v>0.0011220184543019622</v>
      </c>
      <c r="AM33" s="74">
        <f aca="true" t="shared" si="0" ref="AM33:AM96">20*LOG10(D$59/SQRT(1+(AL33/D$55)^2))</f>
        <v>44.67954258174571</v>
      </c>
      <c r="AN33" s="75">
        <f aca="true" t="shared" si="1" ref="AN33:AN96">-(180/3.14)*ATAN(AL33/D$55)</f>
        <v>-0.0230389646909517</v>
      </c>
      <c r="AO33" s="74">
        <f aca="true" t="shared" si="2" ref="AO33:AO96">-20*LOG10(AL33/D$56)+20*LOG10(SQRT(1+(AL33/D$57)^2))-20*LOG10(SQRT(1+(AL33/D$58)^2))</f>
        <v>34.16991602801939</v>
      </c>
      <c r="AP33" s="74">
        <f aca="true" t="shared" si="3" ref="AP33:AP96">-90+(180/3.14)*ATAN(AL33/D$57)-(180/3.14)*ATAN(AL33/D$58)+180</f>
        <v>90.02246558106947</v>
      </c>
      <c r="AQ33" s="74">
        <f aca="true" t="shared" si="4" ref="AQ33:AQ96">AM33+AO33</f>
        <v>78.8494586097651</v>
      </c>
      <c r="AR33" s="75">
        <f aca="true" t="shared" si="5" ref="AR33:AR96">AN33+AP33</f>
        <v>89.99942661637851</v>
      </c>
    </row>
    <row r="34" spans="2:44" ht="27.75">
      <c r="B34" s="30" t="s">
        <v>95</v>
      </c>
      <c r="C34" s="31" t="s">
        <v>128</v>
      </c>
      <c r="D34" s="2">
        <v>27</v>
      </c>
      <c r="E34" s="33" t="s">
        <v>151</v>
      </c>
      <c r="Q34" s="38" t="str">
        <f>IF(D34&gt;50,"Choose a Lower Rfb2 value"," ")</f>
        <v> </v>
      </c>
      <c r="S34" s="29"/>
      <c r="T34" s="29"/>
      <c r="U34" s="29"/>
      <c r="V34" s="29"/>
      <c r="W34" s="29"/>
      <c r="X34" s="29"/>
      <c r="Y34" s="29"/>
      <c r="Z34" s="29"/>
      <c r="AA34" s="29"/>
      <c r="AB34" s="29"/>
      <c r="AC34" s="29"/>
      <c r="AD34" s="29"/>
      <c r="AE34" s="29"/>
      <c r="AF34" s="29"/>
      <c r="AG34" s="29"/>
      <c r="AH34" s="29"/>
      <c r="AK34" s="46"/>
      <c r="AL34" s="73">
        <v>0.001258925411794165</v>
      </c>
      <c r="AM34" s="74">
        <f t="shared" si="0"/>
        <v>44.67954240011086</v>
      </c>
      <c r="AN34" s="75">
        <f t="shared" si="1"/>
        <v>-0.025850143190882545</v>
      </c>
      <c r="AO34" s="74">
        <f t="shared" si="2"/>
        <v>33.16991626520293</v>
      </c>
      <c r="AP34" s="74">
        <f t="shared" si="3"/>
        <v>90.02520679599039</v>
      </c>
      <c r="AQ34" s="74">
        <f t="shared" si="4"/>
        <v>77.84945866531379</v>
      </c>
      <c r="AR34" s="75">
        <f t="shared" si="5"/>
        <v>89.9993566527995</v>
      </c>
    </row>
    <row r="35" spans="2:44" ht="27.75">
      <c r="B35" s="30" t="s">
        <v>96</v>
      </c>
      <c r="C35" s="31" t="s">
        <v>128</v>
      </c>
      <c r="D35" s="13">
        <f>(D34/2.5)*(D9-2.5)</f>
        <v>4185</v>
      </c>
      <c r="E35" s="40" t="s">
        <v>152</v>
      </c>
      <c r="S35" s="29"/>
      <c r="T35" s="29"/>
      <c r="U35" s="29"/>
      <c r="V35" s="29"/>
      <c r="W35" s="29"/>
      <c r="X35" s="29"/>
      <c r="Y35" s="29"/>
      <c r="Z35" s="29"/>
      <c r="AA35" s="29"/>
      <c r="AB35" s="29"/>
      <c r="AC35" s="29"/>
      <c r="AD35" s="29"/>
      <c r="AE35" s="29"/>
      <c r="AF35" s="29"/>
      <c r="AG35" s="29"/>
      <c r="AH35" s="29"/>
      <c r="AK35" s="46"/>
      <c r="AL35" s="73">
        <v>0.0014125375446227514</v>
      </c>
      <c r="AM35" s="74">
        <f t="shared" si="0"/>
        <v>44.67954217144616</v>
      </c>
      <c r="AN35" s="75">
        <f t="shared" si="1"/>
        <v>-0.02900433719747303</v>
      </c>
      <c r="AO35" s="74">
        <f t="shared" si="2"/>
        <v>32.16991656379927</v>
      </c>
      <c r="AP35" s="74">
        <f t="shared" si="3"/>
        <v>90.02828248948941</v>
      </c>
      <c r="AQ35" s="74">
        <f t="shared" si="4"/>
        <v>76.84945873524543</v>
      </c>
      <c r="AR35" s="75">
        <f t="shared" si="5"/>
        <v>89.99927815229194</v>
      </c>
    </row>
    <row r="36" spans="2:44" ht="27.75">
      <c r="B36" s="30" t="s">
        <v>97</v>
      </c>
      <c r="C36" s="31" t="s">
        <v>128</v>
      </c>
      <c r="D36" s="2">
        <v>4280</v>
      </c>
      <c r="E36" s="40" t="s">
        <v>153</v>
      </c>
      <c r="S36" s="29"/>
      <c r="T36" s="29"/>
      <c r="U36" s="29"/>
      <c r="V36" s="29"/>
      <c r="W36" s="29"/>
      <c r="X36" s="29"/>
      <c r="Y36" s="29"/>
      <c r="Z36" s="29"/>
      <c r="AA36" s="29"/>
      <c r="AB36" s="29"/>
      <c r="AC36" s="29"/>
      <c r="AD36" s="29"/>
      <c r="AE36" s="29"/>
      <c r="AF36" s="29"/>
      <c r="AG36" s="29"/>
      <c r="AH36" s="29"/>
      <c r="AK36" s="46"/>
      <c r="AL36" s="73">
        <v>0.0015848931924611095</v>
      </c>
      <c r="AM36" s="74">
        <f t="shared" si="0"/>
        <v>44.67954188357436</v>
      </c>
      <c r="AN36" s="75">
        <f t="shared" si="1"/>
        <v>-0.0325434008713159</v>
      </c>
      <c r="AO36" s="74">
        <f t="shared" si="2"/>
        <v>31.16991693970976</v>
      </c>
      <c r="AP36" s="74">
        <f t="shared" si="3"/>
        <v>90.031733474031</v>
      </c>
      <c r="AQ36" s="74">
        <f t="shared" si="4"/>
        <v>75.84945882328412</v>
      </c>
      <c r="AR36" s="75">
        <f t="shared" si="5"/>
        <v>89.99919007315968</v>
      </c>
    </row>
    <row r="37" spans="2:44" ht="27.75">
      <c r="B37" s="30"/>
      <c r="C37" s="31"/>
      <c r="D37" s="5"/>
      <c r="E37" s="40"/>
      <c r="S37" s="29"/>
      <c r="T37" s="29"/>
      <c r="U37" s="29"/>
      <c r="V37" s="29"/>
      <c r="W37" s="29"/>
      <c r="X37" s="29"/>
      <c r="Y37" s="29"/>
      <c r="Z37" s="29"/>
      <c r="AA37" s="29"/>
      <c r="AB37" s="29"/>
      <c r="AC37" s="29"/>
      <c r="AD37" s="29"/>
      <c r="AE37" s="29"/>
      <c r="AF37" s="29"/>
      <c r="AG37" s="29"/>
      <c r="AH37" s="29"/>
      <c r="AK37" s="46"/>
      <c r="AL37" s="73">
        <v>0.0017782794100389175</v>
      </c>
      <c r="AM37" s="74">
        <f t="shared" si="0"/>
        <v>44.67954152116527</v>
      </c>
      <c r="AN37" s="75">
        <f t="shared" si="1"/>
        <v>-0.036514295327684035</v>
      </c>
      <c r="AO37" s="74">
        <f t="shared" si="2"/>
        <v>30.169917412952987</v>
      </c>
      <c r="AP37" s="74">
        <f t="shared" si="3"/>
        <v>90.03560554191436</v>
      </c>
      <c r="AQ37" s="74">
        <f t="shared" si="4"/>
        <v>74.84945893411826</v>
      </c>
      <c r="AR37" s="75">
        <f t="shared" si="5"/>
        <v>89.99909124658669</v>
      </c>
    </row>
    <row r="38" spans="2:44" ht="27.75">
      <c r="B38" s="41" t="s">
        <v>37</v>
      </c>
      <c r="S38" s="29"/>
      <c r="T38" s="29"/>
      <c r="U38" s="29"/>
      <c r="V38" s="29"/>
      <c r="W38" s="29"/>
      <c r="X38" s="29"/>
      <c r="Y38" s="29"/>
      <c r="Z38" s="29"/>
      <c r="AA38" s="29"/>
      <c r="AB38" s="29"/>
      <c r="AC38" s="29"/>
      <c r="AD38" s="29"/>
      <c r="AE38" s="29"/>
      <c r="AF38" s="29"/>
      <c r="AG38" s="29"/>
      <c r="AH38" s="29"/>
      <c r="AK38" s="46"/>
      <c r="AL38" s="73">
        <v>0.0019952623149688746</v>
      </c>
      <c r="AM38" s="74">
        <f t="shared" si="0"/>
        <v>44.679541064919306</v>
      </c>
      <c r="AN38" s="75">
        <f t="shared" si="1"/>
        <v>-0.04096971176880893</v>
      </c>
      <c r="AO38" s="74">
        <f t="shared" si="2"/>
        <v>29.16991800873083</v>
      </c>
      <c r="AP38" s="74">
        <f t="shared" si="3"/>
        <v>90.03995007288917</v>
      </c>
      <c r="AQ38" s="74">
        <f t="shared" si="4"/>
        <v>73.84945907365014</v>
      </c>
      <c r="AR38" s="75">
        <f t="shared" si="5"/>
        <v>89.99898036112036</v>
      </c>
    </row>
    <row r="39" spans="2:44" ht="27.75">
      <c r="B39" s="30" t="s">
        <v>98</v>
      </c>
      <c r="C39" s="31" t="s">
        <v>128</v>
      </c>
      <c r="D39" s="2">
        <v>39</v>
      </c>
      <c r="E39" s="33" t="s">
        <v>154</v>
      </c>
      <c r="Q39" s="38" t="str">
        <f>IF(D39&lt;20,"Select a higher Rcs2 value"," ")</f>
        <v> </v>
      </c>
      <c r="S39" s="29"/>
      <c r="T39" s="29"/>
      <c r="U39" s="29"/>
      <c r="V39" s="29"/>
      <c r="W39" s="29"/>
      <c r="X39" s="29"/>
      <c r="Y39" s="29"/>
      <c r="Z39" s="29"/>
      <c r="AA39" s="29"/>
      <c r="AB39" s="29"/>
      <c r="AC39" s="29"/>
      <c r="AD39" s="29"/>
      <c r="AE39" s="29"/>
      <c r="AF39" s="29"/>
      <c r="AG39" s="29"/>
      <c r="AH39" s="29"/>
      <c r="AK39" s="46"/>
      <c r="AL39" s="73">
        <v>0.0022387211385683325</v>
      </c>
      <c r="AM39" s="74">
        <f t="shared" si="0"/>
        <v>44.67954049053973</v>
      </c>
      <c r="AN39" s="75">
        <f t="shared" si="1"/>
        <v>-0.04596877064549045</v>
      </c>
      <c r="AO39" s="74">
        <f t="shared" si="2"/>
        <v>28.169918758770574</v>
      </c>
      <c r="AP39" s="74">
        <f t="shared" si="3"/>
        <v>90.04482471590474</v>
      </c>
      <c r="AQ39" s="74">
        <f t="shared" si="4"/>
        <v>72.8494592493103</v>
      </c>
      <c r="AR39" s="75">
        <f t="shared" si="5"/>
        <v>89.99885594525925</v>
      </c>
    </row>
    <row r="40" spans="2:44" ht="27.75">
      <c r="B40" s="30" t="s">
        <v>99</v>
      </c>
      <c r="C40" s="31" t="s">
        <v>128</v>
      </c>
      <c r="D40" s="13">
        <f>D39*137</f>
        <v>5343</v>
      </c>
      <c r="E40" s="40" t="s">
        <v>34</v>
      </c>
      <c r="S40" s="29"/>
      <c r="T40" s="29"/>
      <c r="U40" s="29"/>
      <c r="V40" s="29"/>
      <c r="W40" s="29"/>
      <c r="X40" s="29"/>
      <c r="Y40" s="29"/>
      <c r="Z40" s="29"/>
      <c r="AA40" s="29"/>
      <c r="AB40" s="29"/>
      <c r="AC40" s="29"/>
      <c r="AD40" s="29"/>
      <c r="AE40" s="29"/>
      <c r="AF40" s="29"/>
      <c r="AG40" s="29"/>
      <c r="AH40" s="29"/>
      <c r="AK40" s="46"/>
      <c r="AL40" s="73">
        <v>0.002511886431509571</v>
      </c>
      <c r="AM40" s="74">
        <f t="shared" si="0"/>
        <v>44.6795397674388</v>
      </c>
      <c r="AN40" s="75">
        <f t="shared" si="1"/>
        <v>-0.05157780612324359</v>
      </c>
      <c r="AO40" s="74">
        <f t="shared" si="2"/>
        <v>27.16991970301448</v>
      </c>
      <c r="AP40" s="74">
        <f t="shared" si="3"/>
        <v>90.0502941540361</v>
      </c>
      <c r="AQ40" s="74">
        <f t="shared" si="4"/>
        <v>71.84945947045327</v>
      </c>
      <c r="AR40" s="75">
        <f t="shared" si="5"/>
        <v>89.99871634791285</v>
      </c>
    </row>
    <row r="41" spans="2:44" ht="27.75">
      <c r="B41" s="30" t="s">
        <v>100</v>
      </c>
      <c r="C41" s="31" t="s">
        <v>128</v>
      </c>
      <c r="D41" s="2">
        <v>5580</v>
      </c>
      <c r="E41" s="40" t="s">
        <v>35</v>
      </c>
      <c r="Q41" s="38" t="str">
        <f>IF(D41&gt;5600,"take care of PCB capacitor parasitics ..."," ")</f>
        <v> </v>
      </c>
      <c r="S41" s="29"/>
      <c r="T41" s="29"/>
      <c r="U41" s="29"/>
      <c r="V41" s="29"/>
      <c r="W41" s="29"/>
      <c r="X41" s="29"/>
      <c r="Y41" s="29"/>
      <c r="Z41" s="29"/>
      <c r="AA41" s="29"/>
      <c r="AB41" s="29"/>
      <c r="AC41" s="29"/>
      <c r="AD41" s="29"/>
      <c r="AE41" s="29"/>
      <c r="AF41" s="29"/>
      <c r="AG41" s="29"/>
      <c r="AH41" s="29"/>
      <c r="AK41" s="46"/>
      <c r="AL41" s="73">
        <v>0.002818382931264442</v>
      </c>
      <c r="AM41" s="74">
        <f t="shared" si="0"/>
        <v>44.67953885710883</v>
      </c>
      <c r="AN41" s="75">
        <f t="shared" si="1"/>
        <v>-0.057871246259199906</v>
      </c>
      <c r="AO41" s="74">
        <f t="shared" si="2"/>
        <v>26.16992089174682</v>
      </c>
      <c r="AP41" s="74">
        <f t="shared" si="3"/>
        <v>90.05643096273161</v>
      </c>
      <c r="AQ41" s="74">
        <f t="shared" si="4"/>
        <v>70.84945974885565</v>
      </c>
      <c r="AR41" s="75">
        <f t="shared" si="5"/>
        <v>89.99855971647241</v>
      </c>
    </row>
    <row r="42" spans="2:44" ht="27.75">
      <c r="B42" s="30" t="s">
        <v>101</v>
      </c>
      <c r="C42" s="31" t="s">
        <v>25</v>
      </c>
      <c r="D42" s="9">
        <f>(D39+D41)/D39</f>
        <v>144.07692307692307</v>
      </c>
      <c r="E42" s="40" t="s">
        <v>197</v>
      </c>
      <c r="Q42" s="38" t="str">
        <f>IF(OR(D42&lt;138*0.9,D42&gt;138*1.1),"Get Rcs1 closer to Rcs1,calc"," ")</f>
        <v> </v>
      </c>
      <c r="S42" s="29"/>
      <c r="T42" s="29"/>
      <c r="U42" s="29"/>
      <c r="V42" s="29"/>
      <c r="W42" s="29"/>
      <c r="X42" s="29"/>
      <c r="Y42" s="29"/>
      <c r="Z42" s="29"/>
      <c r="AA42" s="29"/>
      <c r="AB42" s="29"/>
      <c r="AC42" s="29"/>
      <c r="AD42" s="29"/>
      <c r="AE42" s="29"/>
      <c r="AF42" s="29"/>
      <c r="AG42" s="29"/>
      <c r="AH42" s="29"/>
      <c r="AK42" s="46"/>
      <c r="AL42" s="73">
        <v>0.0031622776601683646</v>
      </c>
      <c r="AM42" s="74">
        <f t="shared" si="0"/>
        <v>44.679537711071575</v>
      </c>
      <c r="AN42" s="75">
        <f t="shared" si="1"/>
        <v>-0.06493260056469849</v>
      </c>
      <c r="AO42" s="74">
        <f t="shared" si="2"/>
        <v>25.16992238827168</v>
      </c>
      <c r="AP42" s="74">
        <f t="shared" si="3"/>
        <v>90.06331657276408</v>
      </c>
      <c r="AQ42" s="74">
        <f t="shared" si="4"/>
        <v>69.84946009934325</v>
      </c>
      <c r="AR42" s="75">
        <f t="shared" si="5"/>
        <v>89.99838397219938</v>
      </c>
    </row>
    <row r="43" spans="2:44" ht="27.75">
      <c r="B43" s="30" t="s">
        <v>102</v>
      </c>
      <c r="C43" s="31" t="s">
        <v>18</v>
      </c>
      <c r="D43" s="2">
        <v>10</v>
      </c>
      <c r="E43" s="40" t="s">
        <v>155</v>
      </c>
      <c r="Q43" s="47" t="str">
        <f>IF(D43&lt;&gt;10,"You have added an additional external Ccs cap which is not recommended"," ")</f>
        <v> </v>
      </c>
      <c r="S43" s="29"/>
      <c r="T43" s="29"/>
      <c r="U43" s="29"/>
      <c r="V43" s="29"/>
      <c r="W43" s="29"/>
      <c r="X43" s="29"/>
      <c r="Y43" s="29"/>
      <c r="Z43" s="29"/>
      <c r="AA43" s="29"/>
      <c r="AB43" s="29"/>
      <c r="AC43" s="29"/>
      <c r="AD43" s="29"/>
      <c r="AE43" s="29"/>
      <c r="AF43" s="29"/>
      <c r="AG43" s="29"/>
      <c r="AH43" s="29"/>
      <c r="AK43" s="46"/>
      <c r="AL43" s="73">
        <v>0.0035481338923357367</v>
      </c>
      <c r="AM43" s="74">
        <f t="shared" si="0"/>
        <v>44.67953626829657</v>
      </c>
      <c r="AN43" s="75">
        <f t="shared" si="1"/>
        <v>-0.07285556805159536</v>
      </c>
      <c r="AO43" s="74">
        <f t="shared" si="2"/>
        <v>24.16992427228408</v>
      </c>
      <c r="AP43" s="74">
        <f t="shared" si="3"/>
        <v>90.07104235065323</v>
      </c>
      <c r="AQ43" s="74">
        <f t="shared" si="4"/>
        <v>68.84946054058065</v>
      </c>
      <c r="AR43" s="75">
        <f t="shared" si="5"/>
        <v>89.99818678260164</v>
      </c>
    </row>
    <row r="44" spans="2:44" ht="27.75">
      <c r="B44" s="30" t="s">
        <v>103</v>
      </c>
      <c r="C44" s="31" t="s">
        <v>128</v>
      </c>
      <c r="D44" s="9">
        <f>50-(D39*D41/(D39+D41))</f>
        <v>11.270688734650292</v>
      </c>
      <c r="E44" s="40" t="s">
        <v>36</v>
      </c>
      <c r="S44" s="29"/>
      <c r="T44" s="29"/>
      <c r="U44" s="29"/>
      <c r="V44" s="29"/>
      <c r="W44" s="29"/>
      <c r="X44" s="29"/>
      <c r="Y44" s="29"/>
      <c r="Z44" s="29"/>
      <c r="AA44" s="29"/>
      <c r="AB44" s="29"/>
      <c r="AC44" s="29"/>
      <c r="AD44" s="29"/>
      <c r="AE44" s="29"/>
      <c r="AF44" s="29"/>
      <c r="AG44" s="29"/>
      <c r="AH44" s="29"/>
      <c r="AK44" s="46"/>
      <c r="AL44" s="73">
        <v>0.003981071705534951</v>
      </c>
      <c r="AM44" s="74">
        <f t="shared" si="0"/>
        <v>44.67953445195114</v>
      </c>
      <c r="AN44" s="75">
        <f t="shared" si="1"/>
        <v>-0.08174528045645688</v>
      </c>
      <c r="AO44" s="74">
        <f t="shared" si="2"/>
        <v>23.16992664411395</v>
      </c>
      <c r="AP44" s="74">
        <f t="shared" si="3"/>
        <v>90.07971081088208</v>
      </c>
      <c r="AQ44" s="74">
        <f t="shared" si="4"/>
        <v>67.84946109606508</v>
      </c>
      <c r="AR44" s="75">
        <f t="shared" si="5"/>
        <v>89.99796553042562</v>
      </c>
    </row>
    <row r="45" spans="2:44" ht="27.75">
      <c r="B45" s="30" t="s">
        <v>104</v>
      </c>
      <c r="C45" s="31" t="s">
        <v>128</v>
      </c>
      <c r="D45" s="2">
        <v>10</v>
      </c>
      <c r="E45" s="40" t="s">
        <v>198</v>
      </c>
      <c r="Q45" s="38" t="str">
        <f>IF(OR(D45&lt;0.85*$D$44,D45&gt;1.15*$D$44),"Choose Rcs0 closer to Rcs0,calc"," ")</f>
        <v> </v>
      </c>
      <c r="S45" s="29"/>
      <c r="T45" s="29"/>
      <c r="U45" s="29"/>
      <c r="V45" s="29"/>
      <c r="W45" s="29"/>
      <c r="X45" s="29"/>
      <c r="Y45" s="29"/>
      <c r="Z45" s="29"/>
      <c r="AA45" s="29"/>
      <c r="AB45" s="29"/>
      <c r="AC45" s="29"/>
      <c r="AD45" s="29"/>
      <c r="AE45" s="29"/>
      <c r="AF45" s="29"/>
      <c r="AG45" s="29"/>
      <c r="AH45" s="29"/>
      <c r="AK45" s="46"/>
      <c r="AL45" s="73">
        <v>0.0044668359215096045</v>
      </c>
      <c r="AM45" s="74">
        <f t="shared" si="0"/>
        <v>44.6795321653088</v>
      </c>
      <c r="AN45" s="75">
        <f t="shared" si="1"/>
        <v>-0.09171969712684451</v>
      </c>
      <c r="AO45" s="74">
        <f t="shared" si="2"/>
        <v>22.169929630068907</v>
      </c>
      <c r="AP45" s="74">
        <f t="shared" si="3"/>
        <v>90.08943697597364</v>
      </c>
      <c r="AQ45" s="74">
        <f t="shared" si="4"/>
        <v>66.8494617953777</v>
      </c>
      <c r="AR45" s="75">
        <f t="shared" si="5"/>
        <v>89.99771727884679</v>
      </c>
    </row>
    <row r="46" spans="2:44" ht="27.75">
      <c r="B46" s="44"/>
      <c r="S46" s="29"/>
      <c r="T46" s="29"/>
      <c r="U46" s="29"/>
      <c r="V46" s="29"/>
      <c r="W46" s="29"/>
      <c r="X46" s="29"/>
      <c r="Y46" s="29"/>
      <c r="Z46" s="29"/>
      <c r="AA46" s="29"/>
      <c r="AB46" s="29"/>
      <c r="AC46" s="29"/>
      <c r="AD46" s="29"/>
      <c r="AE46" s="29"/>
      <c r="AF46" s="29"/>
      <c r="AG46" s="29"/>
      <c r="AH46" s="29"/>
      <c r="AK46" s="46"/>
      <c r="AL46" s="73">
        <v>0.005011872336272691</v>
      </c>
      <c r="AM46" s="74">
        <f t="shared" si="0"/>
        <v>44.67952928659837</v>
      </c>
      <c r="AN46" s="75">
        <f t="shared" si="1"/>
        <v>-0.1029111700611552</v>
      </c>
      <c r="AO46" s="74">
        <f t="shared" si="2"/>
        <v>21.169933389160413</v>
      </c>
      <c r="AP46" s="74">
        <f t="shared" si="3"/>
        <v>90.10034990244712</v>
      </c>
      <c r="AQ46" s="74">
        <f t="shared" si="4"/>
        <v>65.84946267575879</v>
      </c>
      <c r="AR46" s="75">
        <f t="shared" si="5"/>
        <v>89.99743873238596</v>
      </c>
    </row>
    <row r="47" spans="37:44" ht="27.75">
      <c r="AK47" s="46"/>
      <c r="AL47" s="73">
        <v>0.005623413251903452</v>
      </c>
      <c r="AM47" s="74">
        <f t="shared" si="0"/>
        <v>44.67952566251935</v>
      </c>
      <c r="AN47" s="75">
        <f t="shared" si="1"/>
        <v>-0.11546819984396056</v>
      </c>
      <c r="AO47" s="74">
        <f t="shared" si="2"/>
        <v>20.169938121571374</v>
      </c>
      <c r="AP47" s="74">
        <f t="shared" si="3"/>
        <v>90.11259439286401</v>
      </c>
      <c r="AQ47" s="74">
        <f t="shared" si="4"/>
        <v>64.84946378409073</v>
      </c>
      <c r="AR47" s="75">
        <f t="shared" si="5"/>
        <v>89.99712619302005</v>
      </c>
    </row>
    <row r="48" spans="2:44" ht="27.75">
      <c r="B48" s="41" t="s">
        <v>207</v>
      </c>
      <c r="E48" s="40"/>
      <c r="T48" s="76" t="s">
        <v>72</v>
      </c>
      <c r="U48" s="77"/>
      <c r="V48" s="77"/>
      <c r="W48" s="77"/>
      <c r="X48" s="77"/>
      <c r="AK48" s="46"/>
      <c r="AL48" s="73">
        <v>0.006309573444801885</v>
      </c>
      <c r="AM48" s="74">
        <f t="shared" si="0"/>
        <v>44.679521100078496</v>
      </c>
      <c r="AN48" s="75">
        <f t="shared" si="1"/>
        <v>-0.12955740574146687</v>
      </c>
      <c r="AO48" s="74">
        <f t="shared" si="2"/>
        <v>19.169944079316085</v>
      </c>
      <c r="AP48" s="74">
        <f t="shared" si="3"/>
        <v>90.12633291662628</v>
      </c>
      <c r="AQ48" s="74">
        <f t="shared" si="4"/>
        <v>63.849465179394585</v>
      </c>
      <c r="AR48" s="75">
        <f t="shared" si="5"/>
        <v>89.99677551088482</v>
      </c>
    </row>
    <row r="49" spans="2:44" ht="27.75">
      <c r="B49" s="30" t="s">
        <v>105</v>
      </c>
      <c r="C49" s="31" t="s">
        <v>7</v>
      </c>
      <c r="D49" s="11">
        <f>(0.0005*D7*D7/19.739/(D24*0.000001)/VLOOKUP(D19,T51:X59,2)/(D27*0.000001)/D9/D9/D16/D16/TAN(D17*3.14/180))*1000000000</f>
        <v>564.0772736660051</v>
      </c>
      <c r="E49" s="40" t="s">
        <v>189</v>
      </c>
      <c r="T49" s="58" t="s">
        <v>71</v>
      </c>
      <c r="U49" s="59" t="s">
        <v>57</v>
      </c>
      <c r="V49" s="60" t="s">
        <v>58</v>
      </c>
      <c r="W49" s="61" t="s">
        <v>59</v>
      </c>
      <c r="X49" s="61" t="s">
        <v>60</v>
      </c>
      <c r="AK49" s="46"/>
      <c r="AL49" s="73">
        <v>0.007079457843841329</v>
      </c>
      <c r="AM49" s="74">
        <f t="shared" si="0"/>
        <v>44.67951535631258</v>
      </c>
      <c r="AN49" s="75">
        <f t="shared" si="1"/>
        <v>-0.1453657360488175</v>
      </c>
      <c r="AO49" s="74">
        <f t="shared" si="2"/>
        <v>18.169951579660086</v>
      </c>
      <c r="AP49" s="74">
        <f t="shared" si="3"/>
        <v>90.14174776493753</v>
      </c>
      <c r="AQ49" s="74">
        <f t="shared" si="4"/>
        <v>62.849466935972664</v>
      </c>
      <c r="AR49" s="75">
        <f t="shared" si="5"/>
        <v>89.99638202888872</v>
      </c>
    </row>
    <row r="50" spans="2:44" ht="27.75">
      <c r="B50" s="30" t="s">
        <v>106</v>
      </c>
      <c r="C50" s="31" t="s">
        <v>7</v>
      </c>
      <c r="D50" s="2">
        <v>560</v>
      </c>
      <c r="E50" s="40" t="s">
        <v>48</v>
      </c>
      <c r="T50" s="62" t="s">
        <v>25</v>
      </c>
      <c r="U50" s="63" t="s">
        <v>204</v>
      </c>
      <c r="V50" s="63" t="s">
        <v>3</v>
      </c>
      <c r="W50" s="63" t="s">
        <v>205</v>
      </c>
      <c r="X50" s="63" t="s">
        <v>205</v>
      </c>
      <c r="AK50" s="46"/>
      <c r="AL50" s="73">
        <v>0.007943282347242755</v>
      </c>
      <c r="AM50" s="74">
        <f t="shared" si="0"/>
        <v>44.6795081253505</v>
      </c>
      <c r="AN50" s="75">
        <f t="shared" si="1"/>
        <v>-0.16310294794822633</v>
      </c>
      <c r="AO50" s="74">
        <f t="shared" si="2"/>
        <v>17.169961022014387</v>
      </c>
      <c r="AP50" s="74">
        <f t="shared" si="3"/>
        <v>90.15904346841218</v>
      </c>
      <c r="AQ50" s="74">
        <f t="shared" si="4"/>
        <v>61.849469147364886</v>
      </c>
      <c r="AR50" s="75">
        <f t="shared" si="5"/>
        <v>89.99594052046395</v>
      </c>
    </row>
    <row r="51" spans="2:44" ht="27.75">
      <c r="B51" s="30" t="s">
        <v>107</v>
      </c>
      <c r="C51" s="31" t="s">
        <v>126</v>
      </c>
      <c r="D51" s="10">
        <f>((0.0005*D7*D7/6.28/VLOOKUP(D19,T51:X59,2)/(D27*0.000001)/D11/D16)-(D49*0.000000001))*1000000</f>
        <v>2.9347533393913188</v>
      </c>
      <c r="E51" s="40" t="s">
        <v>200</v>
      </c>
      <c r="T51" s="64" t="s">
        <v>40</v>
      </c>
      <c r="U51" s="64">
        <v>320000</v>
      </c>
      <c r="V51" s="65">
        <v>0.27</v>
      </c>
      <c r="W51" s="65">
        <v>25</v>
      </c>
      <c r="X51" s="65">
        <v>8.33</v>
      </c>
      <c r="AK51" s="46"/>
      <c r="AL51" s="73">
        <v>0.008912509381337384</v>
      </c>
      <c r="AM51" s="74">
        <f t="shared" si="0"/>
        <v>44.67949902212571</v>
      </c>
      <c r="AN51" s="75">
        <f t="shared" si="1"/>
        <v>-0.18300438968390167</v>
      </c>
      <c r="AO51" s="74">
        <f t="shared" si="2"/>
        <v>16.16997290920351</v>
      </c>
      <c r="AP51" s="74">
        <f t="shared" si="3"/>
        <v>90.1784495092584</v>
      </c>
      <c r="AQ51" s="74">
        <f t="shared" si="4"/>
        <v>60.84947193132922</v>
      </c>
      <c r="AR51" s="75">
        <f t="shared" si="5"/>
        <v>89.9954451195745</v>
      </c>
    </row>
    <row r="52" spans="2:44" ht="27.75">
      <c r="B52" s="30" t="s">
        <v>108</v>
      </c>
      <c r="C52" s="31" t="s">
        <v>126</v>
      </c>
      <c r="D52" s="2">
        <v>3</v>
      </c>
      <c r="E52" s="40" t="s">
        <v>201</v>
      </c>
      <c r="T52" s="64" t="s">
        <v>41</v>
      </c>
      <c r="U52" s="64">
        <v>320000</v>
      </c>
      <c r="V52" s="65">
        <v>0.45</v>
      </c>
      <c r="W52" s="65">
        <v>25</v>
      </c>
      <c r="X52" s="65">
        <v>8.33</v>
      </c>
      <c r="AK52" s="46"/>
      <c r="AL52" s="73">
        <v>0.009999999999999917</v>
      </c>
      <c r="AM52" s="74">
        <f t="shared" si="0"/>
        <v>44.67948756187183</v>
      </c>
      <c r="AN52" s="75">
        <f t="shared" si="1"/>
        <v>-0.2053341218299196</v>
      </c>
      <c r="AO52" s="74">
        <f t="shared" si="2"/>
        <v>15.169987874239341</v>
      </c>
      <c r="AP52" s="74">
        <f t="shared" si="3"/>
        <v>90.20022336380525</v>
      </c>
      <c r="AQ52" s="74">
        <f t="shared" si="4"/>
        <v>59.84947543611117</v>
      </c>
      <c r="AR52" s="75">
        <f t="shared" si="5"/>
        <v>89.99488924197533</v>
      </c>
    </row>
    <row r="53" spans="2:44" ht="27.75">
      <c r="B53" s="30" t="s">
        <v>109</v>
      </c>
      <c r="C53" s="31" t="s">
        <v>128</v>
      </c>
      <c r="D53" s="11">
        <f>((D24*0.000001)*D9*D9/2/(D51*0.000001)/D11)*0.001</f>
        <v>19.435193831938815</v>
      </c>
      <c r="E53" s="40" t="s">
        <v>202</v>
      </c>
      <c r="T53" s="64" t="s">
        <v>42</v>
      </c>
      <c r="U53" s="64">
        <v>320000</v>
      </c>
      <c r="V53" s="65">
        <v>0.68</v>
      </c>
      <c r="W53" s="65">
        <v>25</v>
      </c>
      <c r="X53" s="65">
        <v>8.33</v>
      </c>
      <c r="AK53" s="46"/>
      <c r="AL53" s="73">
        <v>0.011220184543019535</v>
      </c>
      <c r="AM53" s="74">
        <f t="shared" si="0"/>
        <v>44.67947313430999</v>
      </c>
      <c r="AN53" s="75">
        <f t="shared" si="1"/>
        <v>-0.23038841886835745</v>
      </c>
      <c r="AO53" s="74">
        <f t="shared" si="2"/>
        <v>14.170006714026199</v>
      </c>
      <c r="AP53" s="74">
        <f t="shared" si="3"/>
        <v>90.22465391543773</v>
      </c>
      <c r="AQ53" s="74">
        <f t="shared" si="4"/>
        <v>58.84947984833619</v>
      </c>
      <c r="AR53" s="75">
        <f t="shared" si="5"/>
        <v>89.99426549656937</v>
      </c>
    </row>
    <row r="54" spans="2:44" ht="27.75">
      <c r="B54" s="30" t="s">
        <v>110</v>
      </c>
      <c r="C54" s="31" t="s">
        <v>128</v>
      </c>
      <c r="D54" s="2">
        <v>22</v>
      </c>
      <c r="E54" s="40" t="s">
        <v>203</v>
      </c>
      <c r="T54" s="64" t="s">
        <v>43</v>
      </c>
      <c r="U54" s="64">
        <v>640000</v>
      </c>
      <c r="V54" s="65">
        <v>0.54</v>
      </c>
      <c r="W54" s="65">
        <v>12.5</v>
      </c>
      <c r="X54" s="65">
        <v>4.17</v>
      </c>
      <c r="AK54" s="46"/>
      <c r="AL54" s="73">
        <v>0.012589254117941566</v>
      </c>
      <c r="AM54" s="74">
        <f t="shared" si="0"/>
        <v>44.679454971153916</v>
      </c>
      <c r="AN54" s="75">
        <f t="shared" si="1"/>
        <v>-0.25849969725897837</v>
      </c>
      <c r="AO54" s="74">
        <f t="shared" si="2"/>
        <v>13.170030431790513</v>
      </c>
      <c r="AP54" s="74">
        <f t="shared" si="3"/>
        <v>90.25206528279135</v>
      </c>
      <c r="AQ54" s="74">
        <f t="shared" si="4"/>
        <v>57.84948540294443</v>
      </c>
      <c r="AR54" s="75">
        <f t="shared" si="5"/>
        <v>89.99356558553237</v>
      </c>
    </row>
    <row r="55" spans="2:44" ht="27.75">
      <c r="B55" s="30" t="s">
        <v>188</v>
      </c>
      <c r="C55" s="31" t="s">
        <v>9</v>
      </c>
      <c r="D55" s="10">
        <f>D11/3.14/D9/D9/(D24*0.000001)</f>
        <v>2.7917715325848595</v>
      </c>
      <c r="E55" s="40" t="s">
        <v>17</v>
      </c>
      <c r="T55" s="64" t="s">
        <v>39</v>
      </c>
      <c r="U55" s="64">
        <v>640000</v>
      </c>
      <c r="V55" s="65">
        <v>0.9</v>
      </c>
      <c r="W55" s="65">
        <v>12.5</v>
      </c>
      <c r="X55" s="65">
        <v>4.17</v>
      </c>
      <c r="AK55" s="46"/>
      <c r="AL55" s="73">
        <v>0.014125375446227429</v>
      </c>
      <c r="AM55" s="74">
        <f t="shared" si="0"/>
        <v>44.67943210520318</v>
      </c>
      <c r="AN55" s="75">
        <f t="shared" si="1"/>
        <v>-0.29004092172451307</v>
      </c>
      <c r="AO55" s="74">
        <f t="shared" si="2"/>
        <v>12.170060290493197</v>
      </c>
      <c r="AP55" s="74">
        <f t="shared" si="3"/>
        <v>90.2828211133885</v>
      </c>
      <c r="AQ55" s="74">
        <f t="shared" si="4"/>
        <v>56.84949239569638</v>
      </c>
      <c r="AR55" s="75">
        <f t="shared" si="5"/>
        <v>89.99278019166398</v>
      </c>
    </row>
    <row r="56" spans="2:44" ht="27.75">
      <c r="B56" s="30" t="s">
        <v>111</v>
      </c>
      <c r="C56" s="31" t="s">
        <v>9</v>
      </c>
      <c r="D56" s="10">
        <f>1/12560/D9/(D52*0.000001+D50*0.000000001)</f>
        <v>0.05734502621355837</v>
      </c>
      <c r="E56" s="40" t="s">
        <v>156</v>
      </c>
      <c r="T56" s="64" t="s">
        <v>44</v>
      </c>
      <c r="U56" s="64">
        <v>640000</v>
      </c>
      <c r="V56" s="65">
        <v>1.35</v>
      </c>
      <c r="W56" s="65">
        <v>12.5</v>
      </c>
      <c r="X56" s="65">
        <v>4.17</v>
      </c>
      <c r="AK56" s="46"/>
      <c r="AL56" s="73">
        <v>0.015848931924611</v>
      </c>
      <c r="AM56" s="74">
        <f t="shared" si="0"/>
        <v>44.67940331884792</v>
      </c>
      <c r="AN56" s="75">
        <f t="shared" si="1"/>
        <v>-0.32543054765663626</v>
      </c>
      <c r="AO56" s="74">
        <f t="shared" si="2"/>
        <v>11.170097880066072</v>
      </c>
      <c r="AP56" s="74">
        <f t="shared" si="3"/>
        <v>90.31732939882019</v>
      </c>
      <c r="AQ56" s="74">
        <f t="shared" si="4"/>
        <v>55.84950119891399</v>
      </c>
      <c r="AR56" s="75">
        <f t="shared" si="5"/>
        <v>89.99189885116355</v>
      </c>
    </row>
    <row r="57" spans="2:44" ht="27.75">
      <c r="B57" s="30" t="s">
        <v>112</v>
      </c>
      <c r="C57" s="31" t="s">
        <v>9</v>
      </c>
      <c r="D57" s="10">
        <f>1/6.28/(D54*1000)/(D52*0.000001)</f>
        <v>2.412661648330438</v>
      </c>
      <c r="E57" s="40" t="s">
        <v>157</v>
      </c>
      <c r="T57" s="64" t="s">
        <v>45</v>
      </c>
      <c r="U57" s="64">
        <v>960384</v>
      </c>
      <c r="V57" s="65">
        <v>0.82</v>
      </c>
      <c r="W57" s="65">
        <v>8.33</v>
      </c>
      <c r="X57" s="65">
        <v>2.78</v>
      </c>
      <c r="AK57" s="46"/>
      <c r="AL57" s="73">
        <v>0.017782794100389084</v>
      </c>
      <c r="AM57" s="74">
        <f t="shared" si="0"/>
        <v>44.679367079245075</v>
      </c>
      <c r="AN57" s="75">
        <f t="shared" si="1"/>
        <v>-0.36513806442928076</v>
      </c>
      <c r="AO57" s="74">
        <f t="shared" si="2"/>
        <v>10.170145202048484</v>
      </c>
      <c r="AP57" s="74">
        <f t="shared" si="3"/>
        <v>90.35604787414013</v>
      </c>
      <c r="AQ57" s="74">
        <f t="shared" si="4"/>
        <v>54.849512281293556</v>
      </c>
      <c r="AR57" s="75">
        <f t="shared" si="5"/>
        <v>89.99090980971086</v>
      </c>
    </row>
    <row r="58" spans="2:44" ht="27.75">
      <c r="B58" s="30" t="s">
        <v>113</v>
      </c>
      <c r="C58" s="31" t="s">
        <v>9</v>
      </c>
      <c r="D58" s="9">
        <f>(D50*0.000000001+D52*0.000001)/6.28/(D54*1000)/(D50*0.000000001)/(D52*0.000001)</f>
        <v>15.337634764386356</v>
      </c>
      <c r="E58" s="40" t="s">
        <v>158</v>
      </c>
      <c r="T58" s="64" t="s">
        <v>46</v>
      </c>
      <c r="U58" s="64">
        <v>960384</v>
      </c>
      <c r="V58" s="65">
        <v>1.35</v>
      </c>
      <c r="W58" s="65">
        <v>8.33</v>
      </c>
      <c r="X58" s="65">
        <v>2.78</v>
      </c>
      <c r="AK58" s="46"/>
      <c r="AL58" s="73">
        <v>0.019952623149688643</v>
      </c>
      <c r="AM58" s="74">
        <f t="shared" si="0"/>
        <v>44.679321456718114</v>
      </c>
      <c r="AN58" s="75">
        <f t="shared" si="1"/>
        <v>-0.4096902120513239</v>
      </c>
      <c r="AO58" s="74">
        <f t="shared" si="2"/>
        <v>9.1702047761243</v>
      </c>
      <c r="AP58" s="74">
        <f t="shared" si="3"/>
        <v>90.39949007138202</v>
      </c>
      <c r="AQ58" s="74">
        <f t="shared" si="4"/>
        <v>53.849526232842415</v>
      </c>
      <c r="AR58" s="75">
        <f t="shared" si="5"/>
        <v>89.98979985933069</v>
      </c>
    </row>
    <row r="59" spans="2:44" ht="27.75">
      <c r="B59" s="30" t="s">
        <v>114</v>
      </c>
      <c r="C59" s="31" t="s">
        <v>25</v>
      </c>
      <c r="D59" s="9">
        <f>D9*D7*D7/VLOOKUP(D19,T51:U59,2)/(D27*0.000001)/D11</f>
        <v>171.38671875</v>
      </c>
      <c r="E59" s="40" t="s">
        <v>50</v>
      </c>
      <c r="T59" s="64" t="s">
        <v>47</v>
      </c>
      <c r="U59" s="64">
        <v>960384</v>
      </c>
      <c r="V59" s="65">
        <v>2</v>
      </c>
      <c r="W59" s="65">
        <v>8.33</v>
      </c>
      <c r="X59" s="65">
        <v>2.78</v>
      </c>
      <c r="AK59" s="46"/>
      <c r="AL59" s="73">
        <v>0.022387211385683222</v>
      </c>
      <c r="AM59" s="74">
        <f t="shared" si="0"/>
        <v>44.67926402204105</v>
      </c>
      <c r="AN59" s="75">
        <f t="shared" si="1"/>
        <v>-0.4596779520618799</v>
      </c>
      <c r="AO59" s="74">
        <f t="shared" si="2"/>
        <v>8.170279774221298</v>
      </c>
      <c r="AP59" s="74">
        <f t="shared" si="3"/>
        <v>90.44823210507707</v>
      </c>
      <c r="AQ59" s="74">
        <f t="shared" si="4"/>
        <v>52.84954379626235</v>
      </c>
      <c r="AR59" s="75">
        <f t="shared" si="5"/>
        <v>89.98855415301519</v>
      </c>
    </row>
    <row r="60" spans="2:44" ht="27.75">
      <c r="B60" s="30" t="s">
        <v>115</v>
      </c>
      <c r="C60" s="31" t="s">
        <v>9</v>
      </c>
      <c r="D60" s="9">
        <f>D56*D59*D55/D57</f>
        <v>11.372511208217707</v>
      </c>
      <c r="E60" s="40" t="s">
        <v>191</v>
      </c>
      <c r="AK60" s="46"/>
      <c r="AL60" s="73">
        <v>0.025118864315095607</v>
      </c>
      <c r="AM60" s="74">
        <f t="shared" si="0"/>
        <v>44.67919171714658</v>
      </c>
      <c r="AN60" s="75">
        <f t="shared" si="1"/>
        <v>-0.5157642829250788</v>
      </c>
      <c r="AO60" s="74">
        <f t="shared" si="2"/>
        <v>7.170374189296454</v>
      </c>
      <c r="AP60" s="74">
        <f t="shared" si="3"/>
        <v>90.50292027635098</v>
      </c>
      <c r="AQ60" s="74">
        <f t="shared" si="4"/>
        <v>51.84956590644303</v>
      </c>
      <c r="AR60" s="75">
        <f t="shared" si="5"/>
        <v>89.9871559934259</v>
      </c>
    </row>
    <row r="61" spans="2:44" ht="28.5">
      <c r="B61" s="39" t="s">
        <v>116</v>
      </c>
      <c r="C61" s="31" t="s">
        <v>49</v>
      </c>
      <c r="D61" s="11">
        <f>-(180/3.14)*ATAN(D60/D55)-90+(180/3.14)*ATAN(D60/D57)-(180/3.14)*ATAN(D60/D58)-180+360</f>
        <v>55.241112704367026</v>
      </c>
      <c r="E61" s="40" t="s">
        <v>192</v>
      </c>
      <c r="T61" s="48"/>
      <c r="U61" s="48"/>
      <c r="AK61" s="46"/>
      <c r="AL61" s="73">
        <v>0.028183829312644328</v>
      </c>
      <c r="AM61" s="74">
        <f t="shared" si="0"/>
        <v>44.679100692389184</v>
      </c>
      <c r="AN61" s="75">
        <f t="shared" si="1"/>
        <v>-0.5786930004627566</v>
      </c>
      <c r="AO61" s="74">
        <f t="shared" si="2"/>
        <v>6.170493047767221</v>
      </c>
      <c r="AP61" s="74">
        <f t="shared" si="3"/>
        <v>90.56427959161634</v>
      </c>
      <c r="AQ61" s="74">
        <f t="shared" si="4"/>
        <v>50.84959374015641</v>
      </c>
      <c r="AR61" s="75">
        <f t="shared" si="5"/>
        <v>89.98558659115358</v>
      </c>
    </row>
    <row r="62" spans="5:44" ht="27.75">
      <c r="E62" s="49" t="s">
        <v>193</v>
      </c>
      <c r="F62" s="49"/>
      <c r="G62" s="49"/>
      <c r="H62" s="49"/>
      <c r="I62" s="49"/>
      <c r="J62" s="49"/>
      <c r="K62" s="49"/>
      <c r="L62" s="49"/>
      <c r="M62" s="50"/>
      <c r="N62" s="49"/>
      <c r="O62" s="49"/>
      <c r="P62" s="49"/>
      <c r="Q62" s="49"/>
      <c r="R62" s="49"/>
      <c r="S62" s="49"/>
      <c r="T62" s="49"/>
      <c r="AK62" s="46"/>
      <c r="AL62" s="73">
        <v>0.03162277660168356</v>
      </c>
      <c r="AM62" s="74">
        <f t="shared" si="0"/>
        <v>44.67898610172166</v>
      </c>
      <c r="AN62" s="75">
        <f t="shared" si="1"/>
        <v>-0.6492985150983079</v>
      </c>
      <c r="AO62" s="74">
        <f t="shared" si="2"/>
        <v>5.1706426768565095</v>
      </c>
      <c r="AP62" s="74">
        <f t="shared" si="3"/>
        <v>90.63312330199913</v>
      </c>
      <c r="AQ62" s="74">
        <f t="shared" si="4"/>
        <v>49.84962877857817</v>
      </c>
      <c r="AR62" s="75">
        <f t="shared" si="5"/>
        <v>89.98382478690083</v>
      </c>
    </row>
    <row r="63" spans="2:44" ht="27.75">
      <c r="B63" s="6"/>
      <c r="C63" s="6"/>
      <c r="D63" s="6"/>
      <c r="E63" s="40"/>
      <c r="AK63" s="46"/>
      <c r="AL63" s="73">
        <v>0.03548133892335728</v>
      </c>
      <c r="AM63" s="74">
        <f t="shared" si="0"/>
        <v>44.678841844917415</v>
      </c>
      <c r="AN63" s="75">
        <f t="shared" si="1"/>
        <v>-0.7285168498654802</v>
      </c>
      <c r="AO63" s="74">
        <f t="shared" si="2"/>
        <v>4.17083104101739</v>
      </c>
      <c r="AP63" s="74">
        <f t="shared" si="3"/>
        <v>90.71036358034179</v>
      </c>
      <c r="AQ63" s="74">
        <f t="shared" si="4"/>
        <v>48.84967288593481</v>
      </c>
      <c r="AR63" s="75">
        <f t="shared" si="5"/>
        <v>89.9818467304763</v>
      </c>
    </row>
    <row r="64" spans="2:44" ht="27.75">
      <c r="B64" s="41" t="s">
        <v>53</v>
      </c>
      <c r="C64" s="6"/>
      <c r="D64" s="7"/>
      <c r="E64" s="40"/>
      <c r="AK64" s="46"/>
      <c r="AL64" s="73">
        <v>0.03981071705534944</v>
      </c>
      <c r="AM64" s="74">
        <f t="shared" si="0"/>
        <v>44.6786602431738</v>
      </c>
      <c r="AN64" s="75">
        <f t="shared" si="1"/>
        <v>-0.8173979562028196</v>
      </c>
      <c r="AO64" s="74">
        <f t="shared" si="2"/>
        <v>3.1710681652404937</v>
      </c>
      <c r="AP64" s="74">
        <f t="shared" si="3"/>
        <v>90.79702346370988</v>
      </c>
      <c r="AQ64" s="74">
        <f t="shared" si="4"/>
        <v>47.84972840841429</v>
      </c>
      <c r="AR64" s="75">
        <f t="shared" si="5"/>
        <v>89.97962550750705</v>
      </c>
    </row>
    <row r="65" spans="2:44" ht="27.75">
      <c r="B65" s="30" t="s">
        <v>161</v>
      </c>
      <c r="C65" s="31" t="s">
        <v>3</v>
      </c>
      <c r="D65" s="11">
        <f>((D41+D39)/D39)*1.392/1.414</f>
        <v>141.8352736372538</v>
      </c>
      <c r="E65" s="40" t="s">
        <v>51</v>
      </c>
      <c r="AK65" s="46"/>
      <c r="AL65" s="73">
        <v>0.044668359215096</v>
      </c>
      <c r="AM65" s="74">
        <f t="shared" si="0"/>
        <v>44.67843163092102</v>
      </c>
      <c r="AN65" s="75">
        <f t="shared" si="1"/>
        <v>-0.9171194983697235</v>
      </c>
      <c r="AO65" s="74">
        <f t="shared" si="2"/>
        <v>2.1713666676081913</v>
      </c>
      <c r="AP65" s="74">
        <f t="shared" si="3"/>
        <v>90.89425020046528</v>
      </c>
      <c r="AQ65" s="74">
        <f t="shared" si="4"/>
        <v>46.84979829852921</v>
      </c>
      <c r="AR65" s="75">
        <f t="shared" si="5"/>
        <v>89.97713070209555</v>
      </c>
    </row>
    <row r="66" spans="2:44" ht="27.75">
      <c r="B66" s="30" t="s">
        <v>162</v>
      </c>
      <c r="C66" s="31" t="s">
        <v>3</v>
      </c>
      <c r="D66" s="11">
        <f>((D41+D39)/D39)*1.801/1.414</f>
        <v>183.50957458383198</v>
      </c>
      <c r="E66" s="40" t="s">
        <v>52</v>
      </c>
      <c r="AK66" s="46"/>
      <c r="AL66" s="73">
        <v>0.050118723362726866</v>
      </c>
      <c r="AM66" s="74">
        <f t="shared" si="0"/>
        <v>44.678143842256915</v>
      </c>
      <c r="AN66" s="75">
        <f t="shared" si="1"/>
        <v>-1.0290022716280782</v>
      </c>
      <c r="AO66" s="74">
        <f t="shared" si="2"/>
        <v>1.1717424291729386</v>
      </c>
      <c r="AP66" s="74">
        <f t="shared" si="3"/>
        <v>91.00333015162671</v>
      </c>
      <c r="AQ66" s="74">
        <f t="shared" si="4"/>
        <v>45.84988627142985</v>
      </c>
      <c r="AR66" s="75">
        <f t="shared" si="5"/>
        <v>89.97432787999864</v>
      </c>
    </row>
    <row r="67" spans="2:44" ht="27.75">
      <c r="B67" s="6"/>
      <c r="C67" s="6"/>
      <c r="D67" s="6"/>
      <c r="E67" s="40"/>
      <c r="AK67" s="46"/>
      <c r="AL67" s="73">
        <v>0.05623413251903454</v>
      </c>
      <c r="AM67" s="74">
        <f t="shared" si="0"/>
        <v>44.67778156490894</v>
      </c>
      <c r="AN67" s="75">
        <f t="shared" si="1"/>
        <v>-1.1545274337060794</v>
      </c>
      <c r="AO67" s="74">
        <f t="shared" si="2"/>
        <v>0.1722154363851016</v>
      </c>
      <c r="AP67" s="74">
        <f t="shared" si="3"/>
        <v>91.125705405613</v>
      </c>
      <c r="AQ67" s="74">
        <f t="shared" si="4"/>
        <v>44.84999700129404</v>
      </c>
      <c r="AR67" s="75">
        <f t="shared" si="5"/>
        <v>89.97117797190693</v>
      </c>
    </row>
    <row r="68" spans="2:44" ht="27.75">
      <c r="B68" s="41" t="s">
        <v>54</v>
      </c>
      <c r="C68" s="6"/>
      <c r="D68" s="6"/>
      <c r="E68" s="40"/>
      <c r="R68" s="29"/>
      <c r="S68" s="29"/>
      <c r="T68" s="29" t="s">
        <v>173</v>
      </c>
      <c r="U68" s="29"/>
      <c r="V68" s="29"/>
      <c r="W68" s="29"/>
      <c r="X68" s="29"/>
      <c r="Y68" s="29"/>
      <c r="Z68" s="29"/>
      <c r="AA68" s="29"/>
      <c r="AK68" s="46"/>
      <c r="AL68" s="73">
        <v>0.0630957344480189</v>
      </c>
      <c r="AM68" s="74">
        <f t="shared" si="0"/>
        <v>44.67732552771571</v>
      </c>
      <c r="AN68" s="75">
        <f t="shared" si="1"/>
        <v>-1.2953557428192697</v>
      </c>
      <c r="AO68" s="74">
        <f t="shared" si="2"/>
        <v>-0.8271891597770312</v>
      </c>
      <c r="AP68" s="74">
        <f t="shared" si="3"/>
        <v>91.26299227234554</v>
      </c>
      <c r="AQ68" s="74">
        <f t="shared" si="4"/>
        <v>43.85013636793868</v>
      </c>
      <c r="AR68" s="75">
        <f t="shared" si="5"/>
        <v>89.96763652952627</v>
      </c>
    </row>
    <row r="69" spans="2:44" ht="31.5">
      <c r="B69" s="30" t="s">
        <v>163</v>
      </c>
      <c r="C69" s="31" t="s">
        <v>3</v>
      </c>
      <c r="D69" s="11">
        <f>((D41+D39)/D39)*0.819/1.414</f>
        <v>83.45049504950494</v>
      </c>
      <c r="E69" s="40" t="s">
        <v>55</v>
      </c>
      <c r="R69" s="29"/>
      <c r="S69" s="51" t="s">
        <v>179</v>
      </c>
      <c r="T69" s="51" t="s">
        <v>183</v>
      </c>
      <c r="U69" s="52">
        <f>D11</f>
        <v>160</v>
      </c>
      <c r="V69" s="53" t="s">
        <v>208</v>
      </c>
      <c r="W69" s="29"/>
      <c r="X69" s="29"/>
      <c r="Y69" s="29"/>
      <c r="Z69" s="29"/>
      <c r="AA69" s="29"/>
      <c r="AK69" s="46"/>
      <c r="AL69" s="73">
        <v>0.07079457843841332</v>
      </c>
      <c r="AM69" s="74">
        <f t="shared" si="0"/>
        <v>44.67675147898679</v>
      </c>
      <c r="AN69" s="75">
        <f t="shared" si="1"/>
        <v>-1.4533490076284719</v>
      </c>
      <c r="AO69" s="74">
        <f t="shared" si="2"/>
        <v>-1.8264397126960914</v>
      </c>
      <c r="AP69" s="74">
        <f t="shared" si="3"/>
        <v>91.41700182529583</v>
      </c>
      <c r="AQ69" s="74">
        <f t="shared" si="4"/>
        <v>42.850311766290694</v>
      </c>
      <c r="AR69" s="75">
        <f t="shared" si="5"/>
        <v>89.96365281766735</v>
      </c>
    </row>
    <row r="70" spans="2:44" ht="31.5">
      <c r="B70" s="30" t="s">
        <v>164</v>
      </c>
      <c r="C70" s="31" t="s">
        <v>3</v>
      </c>
      <c r="D70" s="11">
        <f>((D41+D39)/D39)*0.737/1.414</f>
        <v>75.0952562289196</v>
      </c>
      <c r="E70" s="40" t="s">
        <v>56</v>
      </c>
      <c r="R70" s="29"/>
      <c r="S70" s="51" t="s">
        <v>179</v>
      </c>
      <c r="T70" s="51" t="s">
        <v>184</v>
      </c>
      <c r="U70" s="52">
        <f>D7</f>
        <v>90</v>
      </c>
      <c r="V70" s="53" t="s">
        <v>210</v>
      </c>
      <c r="W70" s="29"/>
      <c r="X70" s="29"/>
      <c r="Y70" s="29"/>
      <c r="Z70" s="29"/>
      <c r="AA70" s="29"/>
      <c r="AK70" s="46"/>
      <c r="AL70" s="73">
        <v>0.07943282347242764</v>
      </c>
      <c r="AM70" s="74">
        <f t="shared" si="0"/>
        <v>44.676028902328596</v>
      </c>
      <c r="AN70" s="75">
        <f t="shared" si="1"/>
        <v>-1.6305939634101219</v>
      </c>
      <c r="AO70" s="74">
        <f t="shared" si="2"/>
        <v>-2.8254964079146556</v>
      </c>
      <c r="AP70" s="74">
        <f t="shared" si="3"/>
        <v>91.58976265581515</v>
      </c>
      <c r="AQ70" s="74">
        <f t="shared" si="4"/>
        <v>41.85053249441394</v>
      </c>
      <c r="AR70" s="75">
        <f t="shared" si="5"/>
        <v>89.95916869240503</v>
      </c>
    </row>
    <row r="71" spans="4:44" ht="27.75">
      <c r="D71" s="6"/>
      <c r="R71" s="54" t="s">
        <v>180</v>
      </c>
      <c r="S71" s="29"/>
      <c r="T71" s="29"/>
      <c r="U71" s="29"/>
      <c r="V71" s="29"/>
      <c r="W71" s="54" t="s">
        <v>181</v>
      </c>
      <c r="X71" s="29"/>
      <c r="Y71" s="29"/>
      <c r="Z71" s="29"/>
      <c r="AA71" s="29"/>
      <c r="AK71" s="46"/>
      <c r="AL71" s="73">
        <v>0.089125093813374</v>
      </c>
      <c r="AM71" s="74">
        <f t="shared" si="0"/>
        <v>44.67511940312289</v>
      </c>
      <c r="AN71" s="75">
        <f t="shared" si="1"/>
        <v>-1.8294287921154389</v>
      </c>
      <c r="AO71" s="74">
        <f t="shared" si="2"/>
        <v>-3.82430916360653</v>
      </c>
      <c r="AP71" s="74">
        <f t="shared" si="3"/>
        <v>91.78354598926016</v>
      </c>
      <c r="AQ71" s="74">
        <f t="shared" si="4"/>
        <v>40.85081023951636</v>
      </c>
      <c r="AR71" s="75">
        <f t="shared" si="5"/>
        <v>89.95411719714473</v>
      </c>
    </row>
    <row r="72" spans="2:44" ht="27.75">
      <c r="B72" s="41" t="s">
        <v>61</v>
      </c>
      <c r="D72" s="6"/>
      <c r="R72" s="29"/>
      <c r="S72" s="29"/>
      <c r="T72" s="29"/>
      <c r="U72" s="29"/>
      <c r="V72" s="29"/>
      <c r="W72" s="29"/>
      <c r="X72" s="29"/>
      <c r="Y72" s="29"/>
      <c r="Z72" s="29"/>
      <c r="AA72" s="29"/>
      <c r="AK72" s="46"/>
      <c r="AL72" s="73">
        <v>0.09999999999999937</v>
      </c>
      <c r="AM72" s="74">
        <f t="shared" si="0"/>
        <v>44.67397468222153</v>
      </c>
      <c r="AN72" s="75">
        <f t="shared" si="1"/>
        <v>-2.052472498583714</v>
      </c>
      <c r="AO72" s="74">
        <f t="shared" si="2"/>
        <v>-4.822814996360375</v>
      </c>
      <c r="AP72" s="74">
        <f t="shared" si="3"/>
        <v>92.00089328172989</v>
      </c>
      <c r="AQ72" s="74">
        <f t="shared" si="4"/>
        <v>39.85115968586115</v>
      </c>
      <c r="AR72" s="75">
        <f t="shared" si="5"/>
        <v>89.94842078314618</v>
      </c>
    </row>
    <row r="73" spans="2:44" ht="27.75">
      <c r="B73" s="30" t="s">
        <v>117</v>
      </c>
      <c r="C73" s="31" t="s">
        <v>3</v>
      </c>
      <c r="D73" s="12">
        <f>0.5+(4/1.5)*VLOOKUP(D19,T51:X59,3)/2.28</f>
        <v>1.5526315789473684</v>
      </c>
      <c r="E73" s="40" t="s">
        <v>62</v>
      </c>
      <c r="R73" s="29"/>
      <c r="S73" s="29"/>
      <c r="T73" s="29"/>
      <c r="U73" s="29"/>
      <c r="V73" s="29"/>
      <c r="W73" s="29"/>
      <c r="X73" s="29"/>
      <c r="Y73" s="29"/>
      <c r="Z73" s="29"/>
      <c r="AA73" s="29"/>
      <c r="AK73" s="46"/>
      <c r="AL73" s="73">
        <v>0.11220184543019567</v>
      </c>
      <c r="AM73" s="74">
        <f t="shared" si="0"/>
        <v>44.672533992885974</v>
      </c>
      <c r="AN73" s="75">
        <f t="shared" si="1"/>
        <v>-2.302657336190722</v>
      </c>
      <c r="AO73" s="74">
        <f t="shared" si="2"/>
        <v>-5.820934719022724</v>
      </c>
      <c r="AP73" s="74">
        <f t="shared" si="3"/>
        <v>92.24464636216761</v>
      </c>
      <c r="AQ73" s="74">
        <f t="shared" si="4"/>
        <v>38.85159927386325</v>
      </c>
      <c r="AR73" s="75">
        <f t="shared" si="5"/>
        <v>89.9419890259769</v>
      </c>
    </row>
    <row r="74" spans="18:44" ht="27.75">
      <c r="R74" s="29"/>
      <c r="S74" s="29"/>
      <c r="T74" s="29"/>
      <c r="U74" s="29"/>
      <c r="V74" s="29"/>
      <c r="W74" s="29"/>
      <c r="X74" s="29"/>
      <c r="Y74" s="29"/>
      <c r="Z74" s="29"/>
      <c r="AA74" s="29"/>
      <c r="AK74" s="46"/>
      <c r="AL74" s="73">
        <v>0.12589254117941595</v>
      </c>
      <c r="AM74" s="74">
        <f t="shared" si="0"/>
        <v>44.67072095176743</v>
      </c>
      <c r="AN74" s="75">
        <f t="shared" si="1"/>
        <v>-2.583264435886035</v>
      </c>
      <c r="AO74" s="74">
        <f t="shared" si="2"/>
        <v>-6.818568805847569</v>
      </c>
      <c r="AP74" s="74">
        <f t="shared" si="3"/>
        <v>92.51798009664849</v>
      </c>
      <c r="AQ74" s="74">
        <f t="shared" si="4"/>
        <v>37.85215214591986</v>
      </c>
      <c r="AR74" s="75">
        <f t="shared" si="5"/>
        <v>89.93471566076245</v>
      </c>
    </row>
    <row r="75" spans="2:44" ht="27.75">
      <c r="B75" s="41" t="s">
        <v>63</v>
      </c>
      <c r="R75" s="29"/>
      <c r="S75" s="29"/>
      <c r="T75" s="29"/>
      <c r="U75" s="29"/>
      <c r="V75" s="29"/>
      <c r="W75" s="29"/>
      <c r="X75" s="29"/>
      <c r="Y75" s="29"/>
      <c r="Z75" s="29"/>
      <c r="AA75" s="29"/>
      <c r="AK75" s="46"/>
      <c r="AL75" s="73">
        <v>0.14125375446227456</v>
      </c>
      <c r="AM75" s="74">
        <f t="shared" si="0"/>
        <v>44.66843954392865</v>
      </c>
      <c r="AN75" s="75">
        <f t="shared" si="1"/>
        <v>-2.8979627233613994</v>
      </c>
      <c r="AO75" s="74">
        <f t="shared" si="2"/>
        <v>-7.815592222266705</v>
      </c>
      <c r="AP75" s="74">
        <f t="shared" si="3"/>
        <v>92.82443741526191</v>
      </c>
      <c r="AQ75" s="74">
        <f t="shared" si="4"/>
        <v>36.85284732166194</v>
      </c>
      <c r="AR75" s="75">
        <f t="shared" si="5"/>
        <v>89.92647469190051</v>
      </c>
    </row>
    <row r="76" spans="2:44" ht="27.75">
      <c r="B76" s="30" t="s">
        <v>118</v>
      </c>
      <c r="C76" s="31" t="s">
        <v>3</v>
      </c>
      <c r="D76" s="11">
        <f>0.625*(D34+D36)/D34</f>
        <v>99.69907407407408</v>
      </c>
      <c r="E76" s="40" t="s">
        <v>66</v>
      </c>
      <c r="R76" s="29"/>
      <c r="S76" s="29"/>
      <c r="T76" s="29"/>
      <c r="U76" s="29"/>
      <c r="V76" s="29"/>
      <c r="W76" s="29"/>
      <c r="X76" s="29"/>
      <c r="Y76" s="29"/>
      <c r="Z76" s="29"/>
      <c r="AA76" s="29"/>
      <c r="AK76" s="46"/>
      <c r="AL76" s="73">
        <v>0.1584893192461104</v>
      </c>
      <c r="AM76" s="74">
        <f t="shared" si="0"/>
        <v>44.665569124670334</v>
      </c>
      <c r="AN76" s="75">
        <f t="shared" si="1"/>
        <v>-3.250851096666836</v>
      </c>
      <c r="AO76" s="74">
        <f t="shared" si="2"/>
        <v>-8.811847971538462</v>
      </c>
      <c r="AP76" s="74">
        <f t="shared" si="3"/>
        <v>93.16796633698291</v>
      </c>
      <c r="AQ76" s="74">
        <f t="shared" si="4"/>
        <v>35.85372115313187</v>
      </c>
      <c r="AR76" s="75">
        <f t="shared" si="5"/>
        <v>89.91711524031608</v>
      </c>
    </row>
    <row r="77" spans="2:44" ht="27.75">
      <c r="B77" s="30" t="s">
        <v>119</v>
      </c>
      <c r="C77" s="31" t="s">
        <v>3</v>
      </c>
      <c r="D77" s="11">
        <f>0.3*(D36+D34)/D34</f>
        <v>47.855555555555554</v>
      </c>
      <c r="E77" s="40" t="s">
        <v>67</v>
      </c>
      <c r="R77" s="29"/>
      <c r="S77" s="29"/>
      <c r="T77" s="29"/>
      <c r="U77" s="29"/>
      <c r="V77" s="29"/>
      <c r="W77" s="29"/>
      <c r="X77" s="29"/>
      <c r="Y77" s="29"/>
      <c r="Z77" s="29"/>
      <c r="AA77" s="29"/>
      <c r="AK77" s="46"/>
      <c r="AL77" s="73">
        <v>0.17782794100389127</v>
      </c>
      <c r="AM77" s="74">
        <f t="shared" si="0"/>
        <v>44.661958176438944</v>
      </c>
      <c r="AN77" s="75">
        <f t="shared" si="1"/>
        <v>-3.6465036625085405</v>
      </c>
      <c r="AO77" s="74">
        <f t="shared" si="2"/>
        <v>-9.807139058021146</v>
      </c>
      <c r="AP77" s="74">
        <f t="shared" si="3"/>
        <v>93.5529583268978</v>
      </c>
      <c r="AQ77" s="74">
        <f t="shared" si="4"/>
        <v>34.854819118417794</v>
      </c>
      <c r="AR77" s="75">
        <f t="shared" si="5"/>
        <v>89.90645466438926</v>
      </c>
    </row>
    <row r="78" spans="18:44" ht="27.75">
      <c r="R78" s="29"/>
      <c r="S78" s="29"/>
      <c r="T78" s="29"/>
      <c r="U78" s="29"/>
      <c r="V78" s="29"/>
      <c r="W78" s="29"/>
      <c r="X78" s="29"/>
      <c r="Y78" s="29"/>
      <c r="Z78" s="29"/>
      <c r="AA78" s="29"/>
      <c r="AK78" s="46"/>
      <c r="AL78" s="73">
        <v>0.19952623149688684</v>
      </c>
      <c r="AM78" s="74">
        <f t="shared" si="0"/>
        <v>44.657416526830886</v>
      </c>
      <c r="AN78" s="75">
        <f t="shared" si="1"/>
        <v>-4.090017568483778</v>
      </c>
      <c r="AO78" s="74">
        <f t="shared" si="2"/>
        <v>-10.80121850725776</v>
      </c>
      <c r="AP78" s="74">
        <f t="shared" si="3"/>
        <v>93.98428688629085</v>
      </c>
      <c r="AQ78" s="74">
        <f t="shared" si="4"/>
        <v>33.85619801957313</v>
      </c>
      <c r="AR78" s="75">
        <f t="shared" si="5"/>
        <v>89.89426931780707</v>
      </c>
    </row>
    <row r="79" spans="2:44" ht="27.75">
      <c r="B79" s="41" t="s">
        <v>64</v>
      </c>
      <c r="R79" s="29"/>
      <c r="S79" s="29"/>
      <c r="T79" s="29"/>
      <c r="U79" s="29"/>
      <c r="V79" s="29"/>
      <c r="W79" s="29"/>
      <c r="X79" s="29"/>
      <c r="Y79" s="29"/>
      <c r="Z79" s="29"/>
      <c r="AA79" s="29"/>
      <c r="AK79" s="46"/>
      <c r="AL79" s="73">
        <v>0.22387211385683273</v>
      </c>
      <c r="AM79" s="74">
        <f t="shared" si="0"/>
        <v>44.65170567373879</v>
      </c>
      <c r="AN79" s="75">
        <f t="shared" si="1"/>
        <v>-4.5870625865542864</v>
      </c>
      <c r="AO79" s="74">
        <f t="shared" si="2"/>
        <v>-11.793777018203958</v>
      </c>
      <c r="AP79" s="74">
        <f t="shared" si="3"/>
        <v>94.46734466086336</v>
      </c>
      <c r="AQ79" s="74">
        <f t="shared" si="4"/>
        <v>32.857928655534835</v>
      </c>
      <c r="AR79" s="75">
        <f t="shared" si="5"/>
        <v>89.88028207430908</v>
      </c>
    </row>
    <row r="80" spans="2:44" ht="27.75">
      <c r="B80" s="30" t="s">
        <v>120</v>
      </c>
      <c r="C80" s="31" t="s">
        <v>3</v>
      </c>
      <c r="D80" s="11">
        <f>3.175*(D41+D39)/D39</f>
        <v>457.4442307692308</v>
      </c>
      <c r="E80" s="40" t="s">
        <v>68</v>
      </c>
      <c r="R80" s="29"/>
      <c r="S80" s="29"/>
      <c r="T80" s="29"/>
      <c r="U80" s="29"/>
      <c r="V80" s="29"/>
      <c r="W80" s="29"/>
      <c r="X80" s="29"/>
      <c r="Y80" s="29"/>
      <c r="Z80" s="29"/>
      <c r="AA80" s="29"/>
      <c r="AK80" s="46"/>
      <c r="AL80" s="73">
        <v>0.2511886431509567</v>
      </c>
      <c r="AM80" s="74">
        <f t="shared" si="0"/>
        <v>44.644526797212116</v>
      </c>
      <c r="AN80" s="75">
        <f t="shared" si="1"/>
        <v>-5.143931054897196</v>
      </c>
      <c r="AO80" s="74">
        <f t="shared" si="2"/>
        <v>-12.784427756843973</v>
      </c>
      <c r="AP80" s="74">
        <f t="shared" si="3"/>
        <v>95.00807649327493</v>
      </c>
      <c r="AQ80" s="74">
        <f t="shared" si="4"/>
        <v>31.86009904036814</v>
      </c>
      <c r="AR80" s="75">
        <f t="shared" si="5"/>
        <v>89.86414543837773</v>
      </c>
    </row>
    <row r="81" spans="2:44" ht="27.75">
      <c r="B81" s="30" t="s">
        <v>121</v>
      </c>
      <c r="C81" s="31" t="s">
        <v>3</v>
      </c>
      <c r="D81" s="11">
        <f>3.093*(D41+D39)/D39</f>
        <v>445.62992307692303</v>
      </c>
      <c r="E81" s="40" t="s">
        <v>69</v>
      </c>
      <c r="R81" s="29"/>
      <c r="S81" s="29"/>
      <c r="T81" s="29"/>
      <c r="U81" s="29"/>
      <c r="V81" s="29"/>
      <c r="W81" s="29"/>
      <c r="X81" s="29"/>
      <c r="Y81" s="29"/>
      <c r="Z81" s="29"/>
      <c r="AA81" s="29"/>
      <c r="AK81" s="46"/>
      <c r="AL81" s="73">
        <v>0.2818382931264439</v>
      </c>
      <c r="AM81" s="74">
        <f t="shared" si="0"/>
        <v>44.635505967808015</v>
      </c>
      <c r="AN81" s="75">
        <f t="shared" si="1"/>
        <v>-5.767586012208244</v>
      </c>
      <c r="AO81" s="74">
        <f t="shared" si="2"/>
        <v>-13.772687740944246</v>
      </c>
      <c r="AP81" s="74">
        <f t="shared" si="3"/>
        <v>95.61300466566466</v>
      </c>
      <c r="AQ81" s="74">
        <f t="shared" si="4"/>
        <v>30.86281822686377</v>
      </c>
      <c r="AR81" s="75">
        <f t="shared" si="5"/>
        <v>89.84541865345642</v>
      </c>
    </row>
    <row r="82" spans="18:44" ht="27.75">
      <c r="R82" s="29"/>
      <c r="S82" s="29"/>
      <c r="T82" s="29"/>
      <c r="U82" s="29"/>
      <c r="V82" s="29"/>
      <c r="W82" s="29"/>
      <c r="X82" s="29"/>
      <c r="Y82" s="29"/>
      <c r="Z82" s="29"/>
      <c r="AA82" s="29"/>
      <c r="AK82" s="46"/>
      <c r="AL82" s="73">
        <v>0.3162277660168363</v>
      </c>
      <c r="AM82" s="74">
        <f t="shared" si="0"/>
        <v>44.62417599455555</v>
      </c>
      <c r="AN82" s="75">
        <f t="shared" si="1"/>
        <v>-6.465704286781026</v>
      </c>
      <c r="AO82" s="74">
        <f t="shared" si="2"/>
        <v>-14.757955226509658</v>
      </c>
      <c r="AP82" s="74">
        <f t="shared" si="3"/>
        <v>96.28924098436973</v>
      </c>
      <c r="AQ82" s="74">
        <f t="shared" si="4"/>
        <v>29.866220768045892</v>
      </c>
      <c r="AR82" s="75">
        <f t="shared" si="5"/>
        <v>89.82353669758871</v>
      </c>
    </row>
    <row r="83" spans="2:44" ht="27.75">
      <c r="B83" s="41" t="s">
        <v>65</v>
      </c>
      <c r="R83" s="29"/>
      <c r="S83" s="29"/>
      <c r="T83" s="29"/>
      <c r="U83" s="29"/>
      <c r="V83" s="29"/>
      <c r="W83" s="29"/>
      <c r="X83" s="29"/>
      <c r="Y83" s="29"/>
      <c r="Z83" s="29"/>
      <c r="AA83" s="29"/>
      <c r="AK83" s="46"/>
      <c r="AL83" s="73">
        <v>0.3548133892335736</v>
      </c>
      <c r="AM83" s="74">
        <f t="shared" si="0"/>
        <v>44.609954303811776</v>
      </c>
      <c r="AN83" s="75">
        <f t="shared" si="1"/>
        <v>-7.246709843722057</v>
      </c>
      <c r="AO83" s="74">
        <f t="shared" si="2"/>
        <v>-15.739482510217927</v>
      </c>
      <c r="AP83" s="74">
        <f t="shared" si="3"/>
        <v>97.04447825402553</v>
      </c>
      <c r="AQ83" s="74">
        <f t="shared" si="4"/>
        <v>28.87047179359385</v>
      </c>
      <c r="AR83" s="75">
        <f t="shared" si="5"/>
        <v>89.79776841030348</v>
      </c>
    </row>
    <row r="84" spans="2:44" ht="27.75">
      <c r="B84" s="30" t="s">
        <v>122</v>
      </c>
      <c r="C84" s="31" t="s">
        <v>129</v>
      </c>
      <c r="D84" s="11">
        <f>500/D28</f>
        <v>94.47931400282884</v>
      </c>
      <c r="E84" s="40" t="s">
        <v>73</v>
      </c>
      <c r="R84" s="29"/>
      <c r="S84" s="29"/>
      <c r="T84" s="29"/>
      <c r="U84" s="29"/>
      <c r="V84" s="29"/>
      <c r="W84" s="29"/>
      <c r="X84" s="29"/>
      <c r="Y84" s="29"/>
      <c r="Z84" s="29"/>
      <c r="AA84" s="29"/>
      <c r="AK84" s="46"/>
      <c r="AL84" s="73">
        <v>0.39810717055349515</v>
      </c>
      <c r="AM84" s="74">
        <f t="shared" si="0"/>
        <v>44.592116222851786</v>
      </c>
      <c r="AN84" s="75">
        <f t="shared" si="1"/>
        <v>-8.119790748965979</v>
      </c>
      <c r="AO84" s="74">
        <f t="shared" si="2"/>
        <v>-16.716343644060967</v>
      </c>
      <c r="AP84" s="74">
        <f t="shared" si="3"/>
        <v>97.8869509823589</v>
      </c>
      <c r="AQ84" s="74">
        <f t="shared" si="4"/>
        <v>27.87577257879082</v>
      </c>
      <c r="AR84" s="75">
        <f t="shared" si="5"/>
        <v>89.76716023339291</v>
      </c>
    </row>
    <row r="85" spans="2:44" ht="27.75">
      <c r="B85" s="30" t="s">
        <v>123</v>
      </c>
      <c r="C85" s="31" t="s">
        <v>129</v>
      </c>
      <c r="D85" s="2">
        <v>80</v>
      </c>
      <c r="E85" s="40" t="s">
        <v>70</v>
      </c>
      <c r="Q85" s="38" t="str">
        <f>IF(D85&gt;D84,"Select a lower Rsense value"," ")</f>
        <v> </v>
      </c>
      <c r="R85" s="29"/>
      <c r="S85" s="29"/>
      <c r="T85" s="29"/>
      <c r="U85" s="29"/>
      <c r="V85" s="29"/>
      <c r="W85" s="29"/>
      <c r="X85" s="29"/>
      <c r="Y85" s="29"/>
      <c r="Z85" s="29"/>
      <c r="AA85" s="29"/>
      <c r="AK85" s="46"/>
      <c r="AL85" s="73">
        <v>0.44668359215096076</v>
      </c>
      <c r="AM85" s="74">
        <f t="shared" si="0"/>
        <v>44.56976309017362</v>
      </c>
      <c r="AN85" s="75">
        <f t="shared" si="1"/>
        <v>-9.094890583086618</v>
      </c>
      <c r="AO85" s="74">
        <f t="shared" si="2"/>
        <v>-17.68739677132566</v>
      </c>
      <c r="AP85" s="74">
        <f t="shared" si="3"/>
        <v>98.82535180451454</v>
      </c>
      <c r="AQ85" s="74">
        <f t="shared" si="4"/>
        <v>26.882366318847964</v>
      </c>
      <c r="AR85" s="75">
        <f t="shared" si="5"/>
        <v>89.73046122142792</v>
      </c>
    </row>
    <row r="86" spans="17:44" ht="27.75">
      <c r="Q86" s="38" t="str">
        <f>IF(D85&lt;D84/2,"Select a higher Rsense value"," ")</f>
        <v> </v>
      </c>
      <c r="R86" s="29"/>
      <c r="S86" s="29"/>
      <c r="T86" s="29"/>
      <c r="U86" s="29"/>
      <c r="V86" s="29"/>
      <c r="W86" s="29"/>
      <c r="X86" s="29"/>
      <c r="Y86" s="29"/>
      <c r="Z86" s="29"/>
      <c r="AA86" s="29"/>
      <c r="AK86" s="46"/>
      <c r="AL86" s="73">
        <v>0.5011872336272697</v>
      </c>
      <c r="AM86" s="74">
        <f t="shared" si="0"/>
        <v>44.54178477540343</v>
      </c>
      <c r="AN86" s="75">
        <f t="shared" si="1"/>
        <v>-10.182661967648258</v>
      </c>
      <c r="AO86" s="74">
        <f t="shared" si="2"/>
        <v>-18.651241211397654</v>
      </c>
      <c r="AP86" s="74">
        <f t="shared" si="3"/>
        <v>99.86868617626082</v>
      </c>
      <c r="AQ86" s="74">
        <f t="shared" si="4"/>
        <v>25.890543564005775</v>
      </c>
      <c r="AR86" s="75">
        <f t="shared" si="5"/>
        <v>89.68602420861257</v>
      </c>
    </row>
    <row r="87" spans="2:44" ht="27.75">
      <c r="B87" s="41" t="s">
        <v>15</v>
      </c>
      <c r="R87" s="29"/>
      <c r="S87" s="29"/>
      <c r="T87" s="29"/>
      <c r="U87" s="29"/>
      <c r="V87" s="29"/>
      <c r="W87" s="29"/>
      <c r="X87" s="29"/>
      <c r="Y87" s="29"/>
      <c r="Z87" s="29"/>
      <c r="AA87" s="29"/>
      <c r="AK87" s="46"/>
      <c r="AL87" s="73">
        <v>0.5623413251903462</v>
      </c>
      <c r="AM87" s="74">
        <f t="shared" si="0"/>
        <v>44.506816533173115</v>
      </c>
      <c r="AN87" s="75">
        <f t="shared" si="1"/>
        <v>-11.39436607304339</v>
      </c>
      <c r="AO87" s="74">
        <f t="shared" si="2"/>
        <v>-19.606170143044952</v>
      </c>
      <c r="AP87" s="74">
        <f t="shared" si="3"/>
        <v>101.0260436260878</v>
      </c>
      <c r="AQ87" s="74">
        <f t="shared" si="4"/>
        <v>24.900646390128163</v>
      </c>
      <c r="AR87" s="75">
        <f t="shared" si="5"/>
        <v>89.63167755304441</v>
      </c>
    </row>
    <row r="88" spans="2:44" ht="27.75">
      <c r="B88" s="30" t="s">
        <v>131</v>
      </c>
      <c r="C88" s="31" t="s">
        <v>5</v>
      </c>
      <c r="D88" s="9">
        <f>(1.8/D7)*D11/(D10/100)</f>
        <v>3.368421052631579</v>
      </c>
      <c r="E88" s="40" t="s">
        <v>132</v>
      </c>
      <c r="R88" s="29"/>
      <c r="S88" s="29"/>
      <c r="T88" s="29"/>
      <c r="U88" s="29"/>
      <c r="V88" s="29"/>
      <c r="W88" s="29"/>
      <c r="X88" s="29"/>
      <c r="Y88" s="29"/>
      <c r="Z88" s="29"/>
      <c r="AA88" s="29"/>
      <c r="AK88" s="46"/>
      <c r="AL88" s="73">
        <v>0.6309573444801899</v>
      </c>
      <c r="AM88" s="74">
        <f t="shared" si="0"/>
        <v>44.46319072887956</v>
      </c>
      <c r="AN88" s="75">
        <f t="shared" si="1"/>
        <v>-12.741697754995943</v>
      </c>
      <c r="AO88" s="74">
        <f t="shared" si="2"/>
        <v>-20.550120879478506</v>
      </c>
      <c r="AP88" s="74">
        <f t="shared" si="3"/>
        <v>102.3062599053808</v>
      </c>
      <c r="AQ88" s="74">
        <f t="shared" si="4"/>
        <v>23.913069849401055</v>
      </c>
      <c r="AR88" s="75">
        <f t="shared" si="5"/>
        <v>89.56456215038486</v>
      </c>
    </row>
    <row r="89" spans="2:44" ht="27.75">
      <c r="B89" s="30" t="s">
        <v>133</v>
      </c>
      <c r="C89" s="31" t="s">
        <v>5</v>
      </c>
      <c r="D89" s="9">
        <f>2.667*D12*((100*D11/D10/D7)^2)*(1-(1.201*D7/D9))</f>
        <v>1.6877831032822725</v>
      </c>
      <c r="E89" s="40" t="s">
        <v>134</v>
      </c>
      <c r="R89" s="29"/>
      <c r="S89" s="29"/>
      <c r="T89" s="29"/>
      <c r="U89" s="29"/>
      <c r="V89" s="29"/>
      <c r="W89" s="29"/>
      <c r="X89" s="29"/>
      <c r="Y89" s="29"/>
      <c r="Z89" s="29"/>
      <c r="AA89" s="29"/>
      <c r="AK89" s="46"/>
      <c r="AL89" s="73">
        <v>0.7079457843841341</v>
      </c>
      <c r="AM89" s="74">
        <f t="shared" si="0"/>
        <v>44.40888497271202</v>
      </c>
      <c r="AN89" s="75">
        <f t="shared" si="1"/>
        <v>-14.236511826072642</v>
      </c>
      <c r="AO89" s="74">
        <f t="shared" si="2"/>
        <v>-21.480626411641946</v>
      </c>
      <c r="AP89" s="74">
        <f t="shared" si="3"/>
        <v>103.71744192642306</v>
      </c>
      <c r="AQ89" s="74">
        <f t="shared" si="4"/>
        <v>22.928258561070077</v>
      </c>
      <c r="AR89" s="75">
        <f t="shared" si="5"/>
        <v>89.48093010035042</v>
      </c>
    </row>
    <row r="90" spans="2:44" ht="27.75">
      <c r="B90" s="30" t="s">
        <v>135</v>
      </c>
      <c r="C90" s="31" t="s">
        <v>5</v>
      </c>
      <c r="D90" s="9">
        <f>(D11/D9)*1</f>
        <v>0.41025641025641024</v>
      </c>
      <c r="E90" s="40" t="s">
        <v>136</v>
      </c>
      <c r="R90" s="29"/>
      <c r="S90" s="29"/>
      <c r="T90" s="29"/>
      <c r="U90" s="29"/>
      <c r="V90" s="29"/>
      <c r="W90" s="29"/>
      <c r="X90" s="29"/>
      <c r="Y90" s="29"/>
      <c r="Z90" s="29"/>
      <c r="AA90" s="29"/>
      <c r="AK90" s="46"/>
      <c r="AL90" s="73">
        <v>0.7943282347242773</v>
      </c>
      <c r="AM90" s="74">
        <f t="shared" si="0"/>
        <v>44.34146970196582</v>
      </c>
      <c r="AN90" s="75">
        <f t="shared" si="1"/>
        <v>-15.890422921891599</v>
      </c>
      <c r="AO90" s="74">
        <f t="shared" si="2"/>
        <v>-22.394774193067803</v>
      </c>
      <c r="AP90" s="74">
        <f t="shared" si="3"/>
        <v>105.26632840544843</v>
      </c>
      <c r="AQ90" s="74">
        <f t="shared" si="4"/>
        <v>21.946695508898017</v>
      </c>
      <c r="AR90" s="75">
        <f t="shared" si="5"/>
        <v>89.37590548355683</v>
      </c>
    </row>
    <row r="91" spans="2:44" ht="27.75">
      <c r="B91" s="30" t="s">
        <v>137</v>
      </c>
      <c r="C91" s="31" t="s">
        <v>5</v>
      </c>
      <c r="D91" s="10">
        <f>1.333*D85*0.001*((100*D11/D10/D7)^2)*(1-(1.201*D7/D9))</f>
        <v>0.26994404219575785</v>
      </c>
      <c r="E91" s="40" t="s">
        <v>138</v>
      </c>
      <c r="R91" s="29"/>
      <c r="S91" s="29"/>
      <c r="T91" s="29"/>
      <c r="U91" s="29"/>
      <c r="V91" s="29"/>
      <c r="W91" s="29"/>
      <c r="X91" s="29"/>
      <c r="Y91" s="29"/>
      <c r="Z91" s="29"/>
      <c r="AA91" s="29"/>
      <c r="AK91" s="46"/>
      <c r="AL91" s="73">
        <v>0.8912509381337408</v>
      </c>
      <c r="AM91" s="74">
        <f t="shared" si="0"/>
        <v>44.258060351810315</v>
      </c>
      <c r="AN91" s="75">
        <f t="shared" si="1"/>
        <v>-17.71425120681028</v>
      </c>
      <c r="AO91" s="74">
        <f t="shared" si="2"/>
        <v>-23.28918099847545</v>
      </c>
      <c r="AP91" s="74">
        <f t="shared" si="3"/>
        <v>106.95746651939709</v>
      </c>
      <c r="AQ91" s="74">
        <f t="shared" si="4"/>
        <v>20.968879353334863</v>
      </c>
      <c r="AR91" s="75">
        <f t="shared" si="5"/>
        <v>89.24321531258681</v>
      </c>
    </row>
    <row r="92" spans="2:44" ht="27.75">
      <c r="B92" s="30" t="s">
        <v>139</v>
      </c>
      <c r="C92" s="31" t="s">
        <v>12</v>
      </c>
      <c r="D92" s="9">
        <f>((D8*1.414)^2)/((D41+D39)*1000)*1000</f>
        <v>24.988002153408075</v>
      </c>
      <c r="E92" s="40" t="s">
        <v>140</v>
      </c>
      <c r="R92" s="29"/>
      <c r="S92" s="29"/>
      <c r="T92" s="29"/>
      <c r="U92" s="29"/>
      <c r="V92" s="29"/>
      <c r="W92" s="29"/>
      <c r="X92" s="29"/>
      <c r="Y92" s="29"/>
      <c r="Z92" s="29"/>
      <c r="AA92" s="29"/>
      <c r="AK92" s="46"/>
      <c r="AL92" s="73">
        <v>0.9999999999999947</v>
      </c>
      <c r="AM92" s="74">
        <f t="shared" si="0"/>
        <v>44.15528194299533</v>
      </c>
      <c r="AN92" s="75">
        <f t="shared" si="1"/>
        <v>-19.717291410098355</v>
      </c>
      <c r="AO92" s="74">
        <f t="shared" si="2"/>
        <v>-24.159995804918495</v>
      </c>
      <c r="AP92" s="74">
        <f t="shared" si="3"/>
        <v>108.79220226597255</v>
      </c>
      <c r="AQ92" s="74">
        <f t="shared" si="4"/>
        <v>19.995286138076835</v>
      </c>
      <c r="AR92" s="75">
        <f t="shared" si="5"/>
        <v>89.0749108558742</v>
      </c>
    </row>
    <row r="93" spans="18:44" ht="27.75">
      <c r="R93" s="29"/>
      <c r="S93" s="29"/>
      <c r="T93" s="29"/>
      <c r="U93" s="29"/>
      <c r="V93" s="29"/>
      <c r="W93" s="29"/>
      <c r="X93" s="29"/>
      <c r="Y93" s="29"/>
      <c r="Z93" s="29"/>
      <c r="AA93" s="29"/>
      <c r="AK93" s="46"/>
      <c r="AL93" s="73">
        <v>1.1220184543019576</v>
      </c>
      <c r="AM93" s="74">
        <f t="shared" si="0"/>
        <v>44.029256968655545</v>
      </c>
      <c r="AN93" s="75">
        <f t="shared" si="1"/>
        <v>-21.90639684682487</v>
      </c>
      <c r="AO93" s="74">
        <f t="shared" si="2"/>
        <v>-25.002945308650215</v>
      </c>
      <c r="AP93" s="74">
        <f t="shared" si="3"/>
        <v>110.76751314047911</v>
      </c>
      <c r="AQ93" s="74">
        <f t="shared" si="4"/>
        <v>19.02631166000533</v>
      </c>
      <c r="AR93" s="75">
        <f t="shared" si="5"/>
        <v>88.86111629365425</v>
      </c>
    </row>
    <row r="94" spans="18:44" ht="27.75">
      <c r="R94" s="29"/>
      <c r="S94" s="29"/>
      <c r="T94" s="29"/>
      <c r="U94" s="29"/>
      <c r="V94" s="29"/>
      <c r="W94" s="29"/>
      <c r="X94" s="29"/>
      <c r="Y94" s="29"/>
      <c r="Z94" s="29"/>
      <c r="AA94" s="29"/>
      <c r="AK94" s="46"/>
      <c r="AL94" s="73">
        <v>1.2589254117941606</v>
      </c>
      <c r="AM94" s="74">
        <f t="shared" si="0"/>
        <v>43.87563029409623</v>
      </c>
      <c r="AN94" s="75">
        <f t="shared" si="1"/>
        <v>-24.2848968366192</v>
      </c>
      <c r="AO94" s="74">
        <f t="shared" si="2"/>
        <v>-25.813437673245407</v>
      </c>
      <c r="AP94" s="74">
        <f t="shared" si="3"/>
        <v>112.87475787618364</v>
      </c>
      <c r="AQ94" s="74">
        <f t="shared" si="4"/>
        <v>18.062192620850826</v>
      </c>
      <c r="AR94" s="75">
        <f t="shared" si="5"/>
        <v>88.58986103956444</v>
      </c>
    </row>
    <row r="95" spans="18:44" ht="27.75">
      <c r="R95" s="29"/>
      <c r="S95" s="29"/>
      <c r="T95" s="29"/>
      <c r="U95" s="29"/>
      <c r="V95" s="29"/>
      <c r="W95" s="29"/>
      <c r="X95" s="29"/>
      <c r="Y95" s="29"/>
      <c r="Z95" s="29"/>
      <c r="AA95" s="29"/>
      <c r="AK95" s="46"/>
      <c r="AL95" s="73">
        <v>1.412537544622747</v>
      </c>
      <c r="AM95" s="74">
        <f t="shared" si="0"/>
        <v>43.68964630686136</v>
      </c>
      <c r="AN95" s="75">
        <f t="shared" si="1"/>
        <v>-26.851407670205973</v>
      </c>
      <c r="AO95" s="74">
        <f t="shared" si="2"/>
        <v>-26.58673772073361</v>
      </c>
      <c r="AP95" s="74">
        <f t="shared" si="3"/>
        <v>115.09847620508329</v>
      </c>
      <c r="AQ95" s="74">
        <f t="shared" si="4"/>
        <v>17.102908586127754</v>
      </c>
      <c r="AR95" s="75">
        <f t="shared" si="5"/>
        <v>88.24706853487731</v>
      </c>
    </row>
    <row r="96" spans="18:44" ht="27.75">
      <c r="R96" s="29"/>
      <c r="S96" s="29"/>
      <c r="T96" s="29"/>
      <c r="U96" s="29"/>
      <c r="V96" s="29"/>
      <c r="W96" s="29"/>
      <c r="X96" s="29"/>
      <c r="Y96" s="29"/>
      <c r="Z96" s="29"/>
      <c r="AA96" s="29"/>
      <c r="AK96" s="46"/>
      <c r="AL96" s="73">
        <v>1.5848931924611052</v>
      </c>
      <c r="AM96" s="74">
        <f t="shared" si="0"/>
        <v>43.46629218420128</v>
      </c>
      <c r="AN96" s="75">
        <f t="shared" si="1"/>
        <v>-29.59865242682754</v>
      </c>
      <c r="AO96" s="74">
        <f t="shared" si="2"/>
        <v>-27.318219324606943</v>
      </c>
      <c r="AP96" s="74">
        <f t="shared" si="3"/>
        <v>117.41543068488357</v>
      </c>
      <c r="AQ96" s="74">
        <f t="shared" si="4"/>
        <v>16.148072859594336</v>
      </c>
      <c r="AR96" s="75">
        <f t="shared" si="5"/>
        <v>87.81677825805603</v>
      </c>
    </row>
    <row r="97" spans="18:44" ht="27.75">
      <c r="R97" s="29"/>
      <c r="S97" s="29"/>
      <c r="T97" s="29"/>
      <c r="U97" s="29"/>
      <c r="V97" s="29"/>
      <c r="W97" s="29"/>
      <c r="X97" s="29"/>
      <c r="Y97" s="29"/>
      <c r="Z97" s="29"/>
      <c r="AA97" s="29"/>
      <c r="AK97" s="46"/>
      <c r="AL97" s="73">
        <v>1.7782794100389137</v>
      </c>
      <c r="AM97" s="74">
        <f aca="true" t="shared" si="6" ref="AM97:AM160">20*LOG10(D$59/SQRT(1+(AL97/D$55)^2))</f>
        <v>43.200515115965615</v>
      </c>
      <c r="AN97" s="75">
        <f aca="true" t="shared" si="7" ref="AN97:AN160">-(180/3.14)*ATAN(AL97/D$55)</f>
        <v>-32.51246469120409</v>
      </c>
      <c r="AO97" s="74">
        <f aca="true" t="shared" si="8" ref="AO97:AO160">-20*LOG10(AL97/D$56)+20*LOG10(SQRT(1+(AL97/D$57)^2))-20*LOG10(SQRT(1+(AL97/D$58)^2))</f>
        <v>-28.003687450224845</v>
      </c>
      <c r="AP97" s="74">
        <f aca="true" t="shared" si="9" ref="AP97:AP160">-90+(180/3.14)*ATAN(AL97/D$57)-(180/3.14)*ATAN(AL97/D$58)+180</f>
        <v>119.79412185512957</v>
      </c>
      <c r="AQ97" s="74">
        <f aca="true" t="shared" si="10" ref="AQ97:AQ160">AM97+AO97</f>
        <v>15.19682766574077</v>
      </c>
      <c r="AR97" s="75">
        <f aca="true" t="shared" si="11" ref="AR97:AR160">AN97+AP97</f>
        <v>87.28165716392549</v>
      </c>
    </row>
    <row r="98" spans="18:44" ht="27.75">
      <c r="R98" s="29"/>
      <c r="S98" s="29"/>
      <c r="T98" s="29"/>
      <c r="U98" s="29"/>
      <c r="V98" s="29"/>
      <c r="W98" s="29"/>
      <c r="X98" s="29"/>
      <c r="Y98" s="29"/>
      <c r="Z98" s="29"/>
      <c r="AA98" s="29"/>
      <c r="AK98" s="46"/>
      <c r="AL98" s="73">
        <v>1.9952623149688693</v>
      </c>
      <c r="AM98" s="74">
        <f t="shared" si="6"/>
        <v>42.887509486865326</v>
      </c>
      <c r="AN98" s="75">
        <f t="shared" si="7"/>
        <v>-35.57119721128811</v>
      </c>
      <c r="AO98" s="74">
        <f t="shared" si="8"/>
        <v>-28.639744480457505</v>
      </c>
      <c r="AP98" s="74">
        <f t="shared" si="9"/>
        <v>122.19500060191675</v>
      </c>
      <c r="AQ98" s="74">
        <f t="shared" si="10"/>
        <v>14.247765006407821</v>
      </c>
      <c r="AR98" s="75">
        <f t="shared" si="11"/>
        <v>86.62380339062864</v>
      </c>
    </row>
    <row r="99" spans="18:44" ht="27.75">
      <c r="R99" s="29"/>
      <c r="S99" s="29"/>
      <c r="T99" s="29"/>
      <c r="U99" s="29"/>
      <c r="V99" s="29"/>
      <c r="W99" s="29"/>
      <c r="X99" s="29"/>
      <c r="Y99" s="29"/>
      <c r="Z99" s="29"/>
      <c r="AA99" s="29"/>
      <c r="AK99" s="46"/>
      <c r="AL99" s="73">
        <v>2.238721138568328</v>
      </c>
      <c r="AM99" s="74">
        <f t="shared" si="6"/>
        <v>42.523053064520006</v>
      </c>
      <c r="AN99" s="75">
        <f t="shared" si="7"/>
        <v>-38.745762802949095</v>
      </c>
      <c r="AO99" s="74">
        <f t="shared" si="8"/>
        <v>-29.224157548539907</v>
      </c>
      <c r="AP99" s="74">
        <f t="shared" si="9"/>
        <v>124.57152590582642</v>
      </c>
      <c r="AQ99" s="74">
        <f t="shared" si="10"/>
        <v>13.2988955159801</v>
      </c>
      <c r="AR99" s="75">
        <f t="shared" si="11"/>
        <v>85.82576310287732</v>
      </c>
    </row>
    <row r="100" spans="18:44" ht="27.75">
      <c r="R100" s="29"/>
      <c r="S100" s="29"/>
      <c r="T100" s="29"/>
      <c r="U100" s="29"/>
      <c r="V100" s="29"/>
      <c r="W100" s="29"/>
      <c r="X100" s="29"/>
      <c r="Y100" s="29"/>
      <c r="Z100" s="29"/>
      <c r="AA100" s="29"/>
      <c r="AK100" s="46"/>
      <c r="AL100" s="73">
        <v>2.511886431509567</v>
      </c>
      <c r="AM100" s="74">
        <f t="shared" si="6"/>
        <v>42.10385273391807</v>
      </c>
      <c r="AN100" s="75">
        <f t="shared" si="7"/>
        <v>-42.00047671044963</v>
      </c>
      <c r="AO100" s="74">
        <f t="shared" si="8"/>
        <v>-29.75617239284311</v>
      </c>
      <c r="AP100" s="74">
        <f t="shared" si="9"/>
        <v>126.87207147274486</v>
      </c>
      <c r="AQ100" s="74">
        <f t="shared" si="10"/>
        <v>12.347680341074959</v>
      </c>
      <c r="AR100" s="75">
        <f t="shared" si="11"/>
        <v>84.87159476229523</v>
      </c>
    </row>
    <row r="101" spans="2:44" ht="50.25" customHeight="1">
      <c r="B101" s="78" t="s">
        <v>206</v>
      </c>
      <c r="C101" s="20"/>
      <c r="D101" s="20"/>
      <c r="M101" s="20"/>
      <c r="R101" s="29"/>
      <c r="S101" s="29"/>
      <c r="T101" s="29"/>
      <c r="U101" s="29"/>
      <c r="V101" s="29"/>
      <c r="W101" s="29"/>
      <c r="X101" s="29"/>
      <c r="Y101" s="29"/>
      <c r="Z101" s="29"/>
      <c r="AA101" s="29"/>
      <c r="AK101" s="46"/>
      <c r="AL101" s="73">
        <v>2.818382931264439</v>
      </c>
      <c r="AM101" s="74">
        <f t="shared" si="6"/>
        <v>41.627846637443604</v>
      </c>
      <c r="AN101" s="75">
        <f t="shared" si="7"/>
        <v>-45.294739225498446</v>
      </c>
      <c r="AO101" s="74">
        <f t="shared" si="8"/>
        <v>-30.236721315799915</v>
      </c>
      <c r="AP101" s="74">
        <f t="shared" si="9"/>
        <v>129.04250331029903</v>
      </c>
      <c r="AQ101" s="74">
        <f t="shared" si="10"/>
        <v>11.391125321643688</v>
      </c>
      <c r="AR101" s="75">
        <f t="shared" si="11"/>
        <v>83.74776408480058</v>
      </c>
    </row>
    <row r="102" spans="2:44" ht="27.75">
      <c r="B102" s="79">
        <v>10</v>
      </c>
      <c r="R102" s="29"/>
      <c r="S102" s="29"/>
      <c r="T102" s="29"/>
      <c r="U102" s="29"/>
      <c r="V102" s="29"/>
      <c r="W102" s="29"/>
      <c r="X102" s="29"/>
      <c r="Y102" s="29"/>
      <c r="Z102" s="29"/>
      <c r="AA102" s="29"/>
      <c r="AK102" s="46"/>
      <c r="AL102" s="73">
        <v>3.1622776601683626</v>
      </c>
      <c r="AM102" s="74">
        <f t="shared" si="6"/>
        <v>41.09440776855946</v>
      </c>
      <c r="AN102" s="75">
        <f t="shared" si="7"/>
        <v>-48.585417593455226</v>
      </c>
      <c r="AO102" s="74">
        <f t="shared" si="8"/>
        <v>-30.66849058110262</v>
      </c>
      <c r="AP102" s="74">
        <f t="shared" si="9"/>
        <v>131.02909237802518</v>
      </c>
      <c r="AQ102" s="74">
        <f t="shared" si="10"/>
        <v>10.425917187456843</v>
      </c>
      <c r="AR102" s="75">
        <f t="shared" si="11"/>
        <v>82.44367478456996</v>
      </c>
    </row>
    <row r="103" spans="2:44" ht="27.75">
      <c r="B103" s="79">
        <v>22</v>
      </c>
      <c r="AK103" s="46"/>
      <c r="AL103" s="73">
        <v>3.548133892335736</v>
      </c>
      <c r="AM103" s="74">
        <f t="shared" si="6"/>
        <v>40.50440807925127</v>
      </c>
      <c r="AN103" s="75">
        <f t="shared" si="7"/>
        <v>-51.8296115871745</v>
      </c>
      <c r="AO103" s="74">
        <f t="shared" si="8"/>
        <v>-31.055841654083544</v>
      </c>
      <c r="AP103" s="74">
        <f t="shared" si="9"/>
        <v>132.78135473050702</v>
      </c>
      <c r="AQ103" s="74">
        <f t="shared" si="10"/>
        <v>9.448566425167726</v>
      </c>
      <c r="AR103" s="75">
        <f t="shared" si="11"/>
        <v>80.95174314333252</v>
      </c>
    </row>
    <row r="104" spans="2:44" ht="27.75">
      <c r="B104" s="79">
        <v>33</v>
      </c>
      <c r="AK104" s="46"/>
      <c r="AL104" s="73">
        <v>3.9810717055349523</v>
      </c>
      <c r="AM104" s="74">
        <f t="shared" si="6"/>
        <v>39.860129606275734</v>
      </c>
      <c r="AN104" s="75">
        <f t="shared" si="7"/>
        <v>-54.987383216478484</v>
      </c>
      <c r="AO104" s="74">
        <f t="shared" si="8"/>
        <v>-31.404611055961773</v>
      </c>
      <c r="AP104" s="74">
        <f t="shared" si="9"/>
        <v>134.25445744626586</v>
      </c>
      <c r="AQ104" s="74">
        <f t="shared" si="10"/>
        <v>8.455518550313961</v>
      </c>
      <c r="AR104" s="75">
        <f t="shared" si="11"/>
        <v>79.26707422978737</v>
      </c>
    </row>
    <row r="105" spans="2:44" ht="27.75">
      <c r="B105" s="79">
        <v>47</v>
      </c>
      <c r="AK105" s="46"/>
      <c r="AL105" s="73">
        <v>4.46683592150961</v>
      </c>
      <c r="AM105" s="74">
        <f t="shared" si="6"/>
        <v>39.165041248867375</v>
      </c>
      <c r="AN105" s="75">
        <f t="shared" si="7"/>
        <v>-58.02404097868654</v>
      </c>
      <c r="AO105" s="74">
        <f t="shared" si="8"/>
        <v>-31.72183437156192</v>
      </c>
      <c r="AP105" s="74">
        <f t="shared" si="9"/>
        <v>135.4109731781545</v>
      </c>
      <c r="AQ105" s="74">
        <f t="shared" si="10"/>
        <v>7.443206877305457</v>
      </c>
      <c r="AR105" s="75">
        <f t="shared" si="11"/>
        <v>77.38693219946796</v>
      </c>
    </row>
    <row r="106" spans="2:44" ht="27.75">
      <c r="B106" s="79">
        <v>56</v>
      </c>
      <c r="AK106" s="46"/>
      <c r="AL106" s="73">
        <v>5.011872336272698</v>
      </c>
      <c r="AM106" s="74">
        <f t="shared" si="6"/>
        <v>38.423485524223395</v>
      </c>
      <c r="AN106" s="75">
        <f t="shared" si="7"/>
        <v>-60.911688608031426</v>
      </c>
      <c r="AO106" s="74">
        <f t="shared" si="8"/>
        <v>-32.0154447683965</v>
      </c>
      <c r="AP106" s="74">
        <f t="shared" si="9"/>
        <v>136.22195048622268</v>
      </c>
      <c r="AQ106" s="74">
        <f t="shared" si="10"/>
        <v>6.408040755826896</v>
      </c>
      <c r="AR106" s="75">
        <f t="shared" si="11"/>
        <v>75.31026187819126</v>
      </c>
    </row>
    <row r="107" spans="2:44" ht="27.75">
      <c r="B107" s="79">
        <v>68</v>
      </c>
      <c r="AK107" s="46"/>
      <c r="AL107" s="73">
        <v>5.6234132519034645</v>
      </c>
      <c r="AM107" s="74">
        <f t="shared" si="6"/>
        <v>37.640331003503874</v>
      </c>
      <c r="AN107" s="75">
        <f t="shared" si="7"/>
        <v>-63.62992838065739</v>
      </c>
      <c r="AO107" s="74">
        <f t="shared" si="8"/>
        <v>-32.293985889761444</v>
      </c>
      <c r="AP107" s="74">
        <f t="shared" si="9"/>
        <v>136.6674238521614</v>
      </c>
      <c r="AQ107" s="74">
        <f t="shared" si="10"/>
        <v>5.34634511374243</v>
      </c>
      <c r="AR107" s="75">
        <f t="shared" si="11"/>
        <v>73.037495471504</v>
      </c>
    </row>
    <row r="108" spans="2:44" ht="27.75">
      <c r="B108" s="79">
        <v>82</v>
      </c>
      <c r="AK108" s="46"/>
      <c r="AL108" s="73">
        <v>6.309573444801904</v>
      </c>
      <c r="AM108" s="74">
        <f t="shared" si="6"/>
        <v>36.82064195899866</v>
      </c>
      <c r="AN108" s="75">
        <f t="shared" si="7"/>
        <v>-66.16578371431122</v>
      </c>
      <c r="AO108" s="74">
        <f t="shared" si="8"/>
        <v>-32.56635924614259</v>
      </c>
      <c r="AP108" s="74">
        <f t="shared" si="9"/>
        <v>136.73657075783672</v>
      </c>
      <c r="AQ108" s="74">
        <f t="shared" si="10"/>
        <v>4.254282712856067</v>
      </c>
      <c r="AR108" s="75">
        <f t="shared" si="11"/>
        <v>70.5707870435255</v>
      </c>
    </row>
    <row r="109" spans="2:44" ht="27.75">
      <c r="B109" s="79">
        <v>100</v>
      </c>
      <c r="AK109" s="46"/>
      <c r="AL109" s="73">
        <v>7.079457843841347</v>
      </c>
      <c r="AM109" s="74">
        <f t="shared" si="6"/>
        <v>35.96940176863399</v>
      </c>
      <c r="AN109" s="75">
        <f t="shared" si="7"/>
        <v>-68.51302493296484</v>
      </c>
      <c r="AO109" s="74">
        <f t="shared" si="8"/>
        <v>-32.84160507890952</v>
      </c>
      <c r="AP109" s="74">
        <f t="shared" si="9"/>
        <v>136.4277214459323</v>
      </c>
      <c r="AQ109" s="74">
        <f t="shared" si="10"/>
        <v>3.1277966897244767</v>
      </c>
      <c r="AR109" s="75">
        <f t="shared" si="11"/>
        <v>67.91469651296745</v>
      </c>
    </row>
    <row r="110" spans="2:44" ht="27.75">
      <c r="B110" s="79">
        <v>120</v>
      </c>
      <c r="AK110" s="46"/>
      <c r="AL110" s="73">
        <v>7.943282347242782</v>
      </c>
      <c r="AM110" s="74">
        <f t="shared" si="6"/>
        <v>35.09130799532878</v>
      </c>
      <c r="AN110" s="75">
        <f t="shared" si="7"/>
        <v>-70.67112835465285</v>
      </c>
      <c r="AO110" s="74">
        <f t="shared" si="8"/>
        <v>-33.12869959678722</v>
      </c>
      <c r="AP110" s="74">
        <f t="shared" si="9"/>
        <v>135.74835536878902</v>
      </c>
      <c r="AQ110" s="74">
        <f t="shared" si="10"/>
        <v>1.9626083985415619</v>
      </c>
      <c r="AR110" s="75">
        <f t="shared" si="11"/>
        <v>65.07722701413617</v>
      </c>
    </row>
    <row r="111" spans="2:44" ht="27.75">
      <c r="B111" s="79">
        <v>150</v>
      </c>
      <c r="AK111" s="46"/>
      <c r="AL111" s="73">
        <v>8.912509381337419</v>
      </c>
      <c r="AM111" s="74">
        <f t="shared" si="6"/>
        <v>34.190640784708236</v>
      </c>
      <c r="AN111" s="75">
        <f t="shared" si="7"/>
        <v>-72.6440841528461</v>
      </c>
      <c r="AO111" s="74">
        <f t="shared" si="8"/>
        <v>-33.436344391443846</v>
      </c>
      <c r="AP111" s="74">
        <f t="shared" si="9"/>
        <v>134.71510644692668</v>
      </c>
      <c r="AQ111" s="74">
        <f t="shared" si="10"/>
        <v>0.75429639326439</v>
      </c>
      <c r="AR111" s="75">
        <f t="shared" si="11"/>
        <v>62.07102229408058</v>
      </c>
    </row>
    <row r="112" spans="2:44" ht="27.75">
      <c r="B112" s="79">
        <v>182</v>
      </c>
      <c r="AK112" s="46"/>
      <c r="AL112" s="73">
        <v>9.999999999999957</v>
      </c>
      <c r="AM112" s="74">
        <f t="shared" si="6"/>
        <v>33.271195365230184</v>
      </c>
      <c r="AN112" s="75">
        <f t="shared" si="7"/>
        <v>-74.4392185310245</v>
      </c>
      <c r="AO112" s="74">
        <f t="shared" si="8"/>
        <v>-33.77272717741385</v>
      </c>
      <c r="AP112" s="74">
        <f t="shared" si="9"/>
        <v>133.35368107022708</v>
      </c>
      <c r="AQ112" s="74">
        <f t="shared" si="10"/>
        <v>-0.5015318121836643</v>
      </c>
      <c r="AR112" s="75">
        <f t="shared" si="11"/>
        <v>58.91446253920259</v>
      </c>
    </row>
    <row r="113" spans="2:44" ht="27.75">
      <c r="B113" s="79">
        <v>220</v>
      </c>
      <c r="AK113" s="46"/>
      <c r="AL113" s="73">
        <v>11.220184543019586</v>
      </c>
      <c r="AM113" s="74">
        <f t="shared" si="6"/>
        <v>32.33626428229418</v>
      </c>
      <c r="AN113" s="75">
        <f t="shared" si="7"/>
        <v>-76.06613576109925</v>
      </c>
      <c r="AO113" s="74">
        <f t="shared" si="8"/>
        <v>-34.14524610973574</v>
      </c>
      <c r="AP113" s="74">
        <f t="shared" si="9"/>
        <v>131.6985026569326</v>
      </c>
      <c r="AQ113" s="74">
        <f t="shared" si="10"/>
        <v>-1.8089818274415563</v>
      </c>
      <c r="AR113" s="75">
        <f t="shared" si="11"/>
        <v>55.63236689583334</v>
      </c>
    </row>
    <row r="114" spans="2:44" ht="27.75">
      <c r="B114" s="79">
        <v>270</v>
      </c>
      <c r="AK114" s="46"/>
      <c r="AL114" s="73">
        <v>12.589254117941618</v>
      </c>
      <c r="AM114" s="74">
        <f t="shared" si="6"/>
        <v>31.388654228296854</v>
      </c>
      <c r="AN114" s="75">
        <f t="shared" si="7"/>
        <v>-77.53583232081924</v>
      </c>
      <c r="AO114" s="74">
        <f t="shared" si="8"/>
        <v>-34.56020985282518</v>
      </c>
      <c r="AP114" s="74">
        <f t="shared" si="9"/>
        <v>129.79186650590663</v>
      </c>
      <c r="AQ114" s="74">
        <f t="shared" si="10"/>
        <v>-3.1715556245283274</v>
      </c>
      <c r="AR114" s="75">
        <f t="shared" si="11"/>
        <v>52.25603418508739</v>
      </c>
    </row>
    <row r="115" spans="2:44" ht="27.75">
      <c r="B115" s="79">
        <v>330</v>
      </c>
      <c r="AK115" s="46"/>
      <c r="AL115" s="73">
        <v>14.125375446227489</v>
      </c>
      <c r="AM115" s="74">
        <f t="shared" si="6"/>
        <v>30.430724167105204</v>
      </c>
      <c r="AN115" s="75">
        <f t="shared" si="7"/>
        <v>-78.85999613462161</v>
      </c>
      <c r="AO115" s="74">
        <f t="shared" si="8"/>
        <v>-35.02254671410407</v>
      </c>
      <c r="AP115" s="74">
        <f t="shared" si="9"/>
        <v>127.68244071648053</v>
      </c>
      <c r="AQ115" s="74">
        <f t="shared" si="10"/>
        <v>-4.591822546998863</v>
      </c>
      <c r="AR115" s="75">
        <f t="shared" si="11"/>
        <v>48.82244458185892</v>
      </c>
    </row>
    <row r="116" spans="2:44" ht="27.75">
      <c r="B116" s="79">
        <v>390</v>
      </c>
      <c r="AK116" s="46"/>
      <c r="AL116" s="73">
        <v>15.848931924611072</v>
      </c>
      <c r="AM116" s="74">
        <f t="shared" si="6"/>
        <v>29.464434380031857</v>
      </c>
      <c r="AN116" s="75">
        <f t="shared" si="7"/>
        <v>-80.05047946438245</v>
      </c>
      <c r="AO116" s="74">
        <f t="shared" si="8"/>
        <v>-35.535570905994284</v>
      </c>
      <c r="AP116" s="74">
        <f t="shared" si="9"/>
        <v>125.42308249601078</v>
      </c>
      <c r="AQ116" s="74">
        <f t="shared" si="10"/>
        <v>-6.071136525962427</v>
      </c>
      <c r="AR116" s="75">
        <f t="shared" si="11"/>
        <v>45.37260303162833</v>
      </c>
    </row>
    <row r="117" spans="2:44" ht="27.75">
      <c r="B117" s="79">
        <v>470</v>
      </c>
      <c r="AK117" s="46"/>
      <c r="AL117" s="73">
        <v>17.782794100389157</v>
      </c>
      <c r="AM117" s="74">
        <f t="shared" si="6"/>
        <v>28.491399082596462</v>
      </c>
      <c r="AN117" s="75">
        <f t="shared" si="7"/>
        <v>-81.11892156293348</v>
      </c>
      <c r="AO117" s="74">
        <f t="shared" si="8"/>
        <v>-36.100855201003405</v>
      </c>
      <c r="AP117" s="74">
        <f t="shared" si="9"/>
        <v>123.06812059884467</v>
      </c>
      <c r="AQ117" s="74">
        <f t="shared" si="10"/>
        <v>-7.609456118406943</v>
      </c>
      <c r="AR117" s="75">
        <f t="shared" si="11"/>
        <v>41.94919903591119</v>
      </c>
    </row>
    <row r="118" spans="37:44" ht="27.75">
      <c r="AK118" s="46"/>
      <c r="AL118" s="73">
        <v>19.952623149688726</v>
      </c>
      <c r="AM118" s="74">
        <f t="shared" si="6"/>
        <v>27.51293786062888</v>
      </c>
      <c r="AN118" s="75">
        <f t="shared" si="7"/>
        <v>-82.07649307637323</v>
      </c>
      <c r="AO118" s="74">
        <f t="shared" si="8"/>
        <v>-36.71824392238173</v>
      </c>
      <c r="AP118" s="74">
        <f t="shared" si="9"/>
        <v>120.67042175405685</v>
      </c>
      <c r="AQ118" s="74">
        <f t="shared" si="10"/>
        <v>-9.20530606175285</v>
      </c>
      <c r="AR118" s="75">
        <f t="shared" si="11"/>
        <v>38.59392867768362</v>
      </c>
    </row>
    <row r="119" spans="37:44" ht="27.75">
      <c r="AK119" s="46"/>
      <c r="AL119" s="73">
        <v>22.387211385683315</v>
      </c>
      <c r="AM119" s="74">
        <f t="shared" si="6"/>
        <v>26.53012317285623</v>
      </c>
      <c r="AN119" s="75">
        <f t="shared" si="7"/>
        <v>-82.93373501886732</v>
      </c>
      <c r="AO119" s="74">
        <f t="shared" si="8"/>
        <v>-37.38601222859873</v>
      </c>
      <c r="AP119" s="74">
        <f t="shared" si="9"/>
        <v>118.27864566015364</v>
      </c>
      <c r="AQ119" s="74">
        <f t="shared" si="10"/>
        <v>-10.855889055742502</v>
      </c>
      <c r="AR119" s="75">
        <f t="shared" si="11"/>
        <v>35.34491064128632</v>
      </c>
    </row>
    <row r="120" spans="37:44" ht="27.75">
      <c r="AK120" s="46"/>
      <c r="AL120" s="73">
        <v>25.11886431509571</v>
      </c>
      <c r="AM120" s="74">
        <f t="shared" si="6"/>
        <v>25.543822579784205</v>
      </c>
      <c r="AN120" s="75">
        <f t="shared" si="7"/>
        <v>-83.70046846819079</v>
      </c>
      <c r="AO120" s="74">
        <f t="shared" si="8"/>
        <v>-38.10114677087666</v>
      </c>
      <c r="AP120" s="74">
        <f t="shared" si="9"/>
        <v>115.93506323197536</v>
      </c>
      <c r="AQ120" s="74">
        <f t="shared" si="10"/>
        <v>-12.557324191092455</v>
      </c>
      <c r="AR120" s="75">
        <f t="shared" si="11"/>
        <v>32.23459476378457</v>
      </c>
    </row>
    <row r="121" spans="37:44" ht="27.75">
      <c r="AK121" s="46"/>
      <c r="AL121" s="73">
        <v>28.18382931264445</v>
      </c>
      <c r="AM121" s="74">
        <f t="shared" si="6"/>
        <v>24.554735285346926</v>
      </c>
      <c r="AN121" s="75">
        <f t="shared" si="7"/>
        <v>-84.38575533803713</v>
      </c>
      <c r="AO121" s="74">
        <f t="shared" si="8"/>
        <v>-38.859700044914646</v>
      </c>
      <c r="AP121" s="74">
        <f t="shared" si="9"/>
        <v>113.67418003257717</v>
      </c>
      <c r="AQ121" s="74">
        <f t="shared" si="10"/>
        <v>-14.30496475956772</v>
      </c>
      <c r="AR121" s="75">
        <f t="shared" si="11"/>
        <v>29.28842469454004</v>
      </c>
    </row>
    <row r="122" spans="37:44" ht="27.75">
      <c r="AK122" s="46"/>
      <c r="AL122" s="73">
        <v>31.62277660168369</v>
      </c>
      <c r="AM122" s="74">
        <f t="shared" si="6"/>
        <v>23.56342313921595</v>
      </c>
      <c r="AN122" s="75">
        <f t="shared" si="7"/>
        <v>-84.99789475892597</v>
      </c>
      <c r="AO122" s="74">
        <f t="shared" si="8"/>
        <v>-39.657162912066234</v>
      </c>
      <c r="AP122" s="74">
        <f t="shared" si="9"/>
        <v>111.52222612234799</v>
      </c>
      <c r="AQ122" s="74">
        <f t="shared" si="10"/>
        <v>-16.093739772850284</v>
      </c>
      <c r="AR122" s="75">
        <f t="shared" si="11"/>
        <v>26.52433136342202</v>
      </c>
    </row>
    <row r="123" spans="37:44" ht="27.75">
      <c r="AK123" s="46"/>
      <c r="AL123" s="73">
        <v>35.48133892335743</v>
      </c>
      <c r="AM123" s="74">
        <f t="shared" si="6"/>
        <v>22.57033655373519</v>
      </c>
      <c r="AN123" s="75">
        <f t="shared" si="7"/>
        <v>-85.54444329795511</v>
      </c>
      <c r="AO123" s="74">
        <f t="shared" si="8"/>
        <v>-40.488806752455815</v>
      </c>
      <c r="AP123" s="74">
        <f t="shared" si="9"/>
        <v>109.49740991917875</v>
      </c>
      <c r="AQ123" s="74">
        <f t="shared" si="10"/>
        <v>-17.918470198720627</v>
      </c>
      <c r="AR123" s="75">
        <f t="shared" si="11"/>
        <v>23.952966621223638</v>
      </c>
    </row>
    <row r="124" spans="37:44" ht="27.75">
      <c r="AK124" s="46"/>
      <c r="AL124" s="73">
        <v>39.81071705534961</v>
      </c>
      <c r="AM124" s="74">
        <f t="shared" si="6"/>
        <v>21.57583592770454</v>
      </c>
      <c r="AN124" s="75">
        <f t="shared" si="7"/>
        <v>-86.03225030997615</v>
      </c>
      <c r="AO124" s="74">
        <f t="shared" si="8"/>
        <v>-41.349963034355</v>
      </c>
      <c r="AP124" s="74">
        <f t="shared" si="9"/>
        <v>107.61073125578007</v>
      </c>
      <c r="AQ124" s="74">
        <f t="shared" si="10"/>
        <v>-19.77412710665046</v>
      </c>
      <c r="AR124" s="75">
        <f t="shared" si="11"/>
        <v>21.578480945803918</v>
      </c>
    </row>
    <row r="125" spans="37:44" ht="27.75">
      <c r="AK125" s="46"/>
      <c r="AL125" s="73">
        <v>44.66835921509618</v>
      </c>
      <c r="AM125" s="74">
        <f t="shared" si="6"/>
        <v>20.580209203805587</v>
      </c>
      <c r="AN125" s="75">
        <f t="shared" si="7"/>
        <v>-86.46750213698009</v>
      </c>
      <c r="AO125" s="74">
        <f t="shared" si="8"/>
        <v>-42.236226601335936</v>
      </c>
      <c r="AP125" s="74">
        <f t="shared" si="9"/>
        <v>105.86711825804652</v>
      </c>
      <c r="AQ125" s="74">
        <f t="shared" si="10"/>
        <v>-21.65601739753035</v>
      </c>
      <c r="AR125" s="75">
        <f t="shared" si="11"/>
        <v>19.39961612106643</v>
      </c>
    </row>
    <row r="126" spans="37:44" ht="27.75">
      <c r="AK126" s="46"/>
      <c r="AL126" s="73">
        <v>50.11872336272708</v>
      </c>
      <c r="AM126" s="74">
        <f t="shared" si="6"/>
        <v>19.58368616157039</v>
      </c>
      <c r="AN126" s="75">
        <f t="shared" si="7"/>
        <v>-86.85577073023532</v>
      </c>
      <c r="AO126" s="74">
        <f t="shared" si="8"/>
        <v>-43.1435842417782</v>
      </c>
      <c r="AP126" s="74">
        <f t="shared" si="9"/>
        <v>104.26667801939001</v>
      </c>
      <c r="AQ126" s="74">
        <f t="shared" si="10"/>
        <v>-23.55989808020781</v>
      </c>
      <c r="AR126" s="75">
        <f t="shared" si="11"/>
        <v>17.410907289154693</v>
      </c>
    </row>
    <row r="127" spans="37:44" ht="27.75">
      <c r="AK127" s="46"/>
      <c r="AL127" s="73">
        <v>56.234132519034766</v>
      </c>
      <c r="AM127" s="74">
        <f t="shared" si="6"/>
        <v>18.586449992412955</v>
      </c>
      <c r="AN127" s="75">
        <f t="shared" si="7"/>
        <v>-87.20206365825106</v>
      </c>
      <c r="AO127" s="74">
        <f t="shared" si="8"/>
        <v>-44.0684796925884</v>
      </c>
      <c r="AP127" s="74">
        <f t="shared" si="9"/>
        <v>102.80590574817943</v>
      </c>
      <c r="AQ127" s="74">
        <f t="shared" si="10"/>
        <v>-25.482029700175442</v>
      </c>
      <c r="AR127" s="75">
        <f t="shared" si="11"/>
        <v>15.603842089928364</v>
      </c>
    </row>
    <row r="128" spans="37:44" ht="27.75">
      <c r="AK128" s="46"/>
      <c r="AL128" s="73">
        <v>63.09573444801914</v>
      </c>
      <c r="AM128" s="74">
        <f t="shared" si="6"/>
        <v>17.588646635436</v>
      </c>
      <c r="AN128" s="75">
        <f t="shared" si="7"/>
        <v>-87.51087348044092</v>
      </c>
      <c r="AO128" s="74">
        <f t="shared" si="8"/>
        <v>-45.00783028913138</v>
      </c>
      <c r="AP128" s="74">
        <f t="shared" si="9"/>
        <v>101.47875740180318</v>
      </c>
      <c r="AQ128" s="74">
        <f t="shared" si="10"/>
        <v>-27.419183653695377</v>
      </c>
      <c r="AR128" s="75">
        <f t="shared" si="11"/>
        <v>13.967883921362258</v>
      </c>
    </row>
    <row r="129" spans="37:44" ht="27.75">
      <c r="AK129" s="46"/>
      <c r="AL129" s="73">
        <v>70.79457843841361</v>
      </c>
      <c r="AM129" s="74">
        <f t="shared" si="6"/>
        <v>16.590392283140236</v>
      </c>
      <c r="AN129" s="75">
        <f t="shared" si="7"/>
        <v>-87.78622519769554</v>
      </c>
      <c r="AO129" s="74">
        <f t="shared" si="8"/>
        <v>-45.95901050952859</v>
      </c>
      <c r="AP129" s="74">
        <f t="shared" si="9"/>
        <v>100.27754208658213</v>
      </c>
      <c r="AQ129" s="74">
        <f t="shared" si="10"/>
        <v>-29.368618226388353</v>
      </c>
      <c r="AR129" s="75">
        <f t="shared" si="11"/>
        <v>12.491316888886587</v>
      </c>
    </row>
    <row r="130" spans="37:44" ht="27.75">
      <c r="AK130" s="46"/>
      <c r="AL130" s="73">
        <v>79.43282347242798</v>
      </c>
      <c r="AM130" s="74">
        <f t="shared" si="6"/>
        <v>15.591779400608525</v>
      </c>
      <c r="AN130" s="75">
        <f t="shared" si="7"/>
        <v>-88.03172100819083</v>
      </c>
      <c r="AO130" s="74">
        <f t="shared" si="8"/>
        <v>-46.91981544042447</v>
      </c>
      <c r="AP130" s="74">
        <f t="shared" si="9"/>
        <v>99.19362696717552</v>
      </c>
      <c r="AQ130" s="74">
        <f t="shared" si="10"/>
        <v>-31.32803603981595</v>
      </c>
      <c r="AR130" s="75">
        <f t="shared" si="11"/>
        <v>11.16190595898469</v>
      </c>
    </row>
    <row r="131" spans="37:44" ht="27.75">
      <c r="AK131" s="46"/>
      <c r="AL131" s="73">
        <v>89.12509381337432</v>
      </c>
      <c r="AM131" s="74">
        <f t="shared" si="6"/>
        <v>14.59288154299422</v>
      </c>
      <c r="AN131" s="75">
        <f t="shared" si="7"/>
        <v>-88.25058195598845</v>
      </c>
      <c r="AO131" s="74">
        <f t="shared" si="8"/>
        <v>-47.888414131524954</v>
      </c>
      <c r="AP131" s="74">
        <f t="shared" si="9"/>
        <v>98.21796939117897</v>
      </c>
      <c r="AQ131" s="74">
        <f t="shared" si="10"/>
        <v>-33.29553258853073</v>
      </c>
      <c r="AR131" s="75">
        <f t="shared" si="11"/>
        <v>9.967387435190517</v>
      </c>
    </row>
    <row r="132" spans="37:44" ht="27.75">
      <c r="AK132" s="46"/>
      <c r="AL132" s="73">
        <v>99.99999999999977</v>
      </c>
      <c r="AM132" s="74">
        <f t="shared" si="6"/>
        <v>13.593757205179077</v>
      </c>
      <c r="AN132" s="75">
        <f t="shared" si="7"/>
        <v>-88.44568630456163</v>
      </c>
      <c r="AO132" s="74">
        <f t="shared" si="8"/>
        <v>-48.86329979994198</v>
      </c>
      <c r="AP132" s="74">
        <f t="shared" si="9"/>
        <v>97.34150153055069</v>
      </c>
      <c r="AQ132" s="74">
        <f t="shared" si="10"/>
        <v>-35.269542594762896</v>
      </c>
      <c r="AR132" s="75">
        <f t="shared" si="11"/>
        <v>8.895815225989054</v>
      </c>
    </row>
    <row r="133" spans="37:44" ht="27.75">
      <c r="AK133" s="46"/>
      <c r="AL133" s="73">
        <v>112.20184543019614</v>
      </c>
      <c r="AM133" s="74">
        <f t="shared" si="6"/>
        <v>12.594452894221696</v>
      </c>
      <c r="AN133" s="75">
        <f t="shared" si="7"/>
        <v>-88.61960462976847</v>
      </c>
      <c r="AO133" s="74">
        <f t="shared" si="8"/>
        <v>-49.84324132716937</v>
      </c>
      <c r="AP133" s="74">
        <f t="shared" si="9"/>
        <v>96.55539581037225</v>
      </c>
      <c r="AQ133" s="74">
        <f t="shared" si="10"/>
        <v>-37.24878843294768</v>
      </c>
      <c r="AR133" s="75">
        <f t="shared" si="11"/>
        <v>7.935791180603772</v>
      </c>
    </row>
    <row r="134" spans="37:44" ht="27.75">
      <c r="AK134" s="46"/>
      <c r="AL134" s="73">
        <v>125.89254117941643</v>
      </c>
      <c r="AM134" s="74">
        <f t="shared" si="6"/>
        <v>11.595005579099633</v>
      </c>
      <c r="AN134" s="75">
        <f t="shared" si="7"/>
        <v>-88.77463173098421</v>
      </c>
      <c r="AO134" s="74">
        <f t="shared" si="8"/>
        <v>-50.82723858846984</v>
      </c>
      <c r="AP134" s="74">
        <f t="shared" si="9"/>
        <v>95.85123793931892</v>
      </c>
      <c r="AQ134" s="74">
        <f t="shared" si="10"/>
        <v>-39.232233009370205</v>
      </c>
      <c r="AR134" s="75">
        <f t="shared" si="11"/>
        <v>7.076606208334709</v>
      </c>
    </row>
    <row r="135" spans="37:44" ht="27.75">
      <c r="AK135" s="46"/>
      <c r="AL135" s="73">
        <v>141.25375446227503</v>
      </c>
      <c r="AM135" s="74">
        <f t="shared" si="6"/>
        <v>10.595444642432248</v>
      </c>
      <c r="AN135" s="75">
        <f t="shared" si="7"/>
        <v>-88.91281552258928</v>
      </c>
      <c r="AO135" s="74">
        <f t="shared" si="8"/>
        <v>-51.81448282649342</v>
      </c>
      <c r="AP135" s="74">
        <f t="shared" si="9"/>
        <v>95.22113077846397</v>
      </c>
      <c r="AQ135" s="74">
        <f t="shared" si="10"/>
        <v>-41.21903818406117</v>
      </c>
      <c r="AR135" s="75">
        <f t="shared" si="11"/>
        <v>6.308315255874689</v>
      </c>
    </row>
    <row r="136" spans="37:44" ht="27.75">
      <c r="AK136" s="46"/>
      <c r="AL136" s="73">
        <v>158.48931924611082</v>
      </c>
      <c r="AM136" s="74">
        <f t="shared" si="6"/>
        <v>9.595793434470048</v>
      </c>
      <c r="AN136" s="75">
        <f t="shared" si="7"/>
        <v>-89.03598310341226</v>
      </c>
      <c r="AO136" s="74">
        <f t="shared" si="8"/>
        <v>-52.80432241916385</v>
      </c>
      <c r="AP136" s="74">
        <f t="shared" si="9"/>
        <v>94.65774804054068</v>
      </c>
      <c r="AQ136" s="74">
        <f t="shared" si="10"/>
        <v>-43.20852898469381</v>
      </c>
      <c r="AR136" s="75">
        <f t="shared" si="11"/>
        <v>5.621764937128418</v>
      </c>
    </row>
    <row r="137" spans="37:44" ht="27.75">
      <c r="AK137" s="46"/>
      <c r="AL137" s="73">
        <v>177.82794100389162</v>
      </c>
      <c r="AM137" s="74">
        <f t="shared" si="6"/>
        <v>8.596070509797869</v>
      </c>
      <c r="AN137" s="75">
        <f t="shared" si="7"/>
        <v>-89.14576421807082</v>
      </c>
      <c r="AO137" s="74">
        <f t="shared" si="8"/>
        <v>-53.79623387521444</v>
      </c>
      <c r="AP137" s="74">
        <f t="shared" si="9"/>
        <v>94.15435270937593</v>
      </c>
      <c r="AQ137" s="74">
        <f t="shared" si="10"/>
        <v>-45.20016336541657</v>
      </c>
      <c r="AR137" s="75">
        <f t="shared" si="11"/>
        <v>5.008588491305105</v>
      </c>
    </row>
    <row r="138" spans="37:44" ht="27.75">
      <c r="AK138" s="46"/>
      <c r="AL138" s="73">
        <v>199.5262314968871</v>
      </c>
      <c r="AM138" s="74">
        <f t="shared" si="6"/>
        <v>7.596290611152067</v>
      </c>
      <c r="AN138" s="75">
        <f t="shared" si="7"/>
        <v>-89.24361232782911</v>
      </c>
      <c r="AO138" s="74">
        <f t="shared" si="8"/>
        <v>-54.78979761273453</v>
      </c>
      <c r="AP138" s="74">
        <f t="shared" si="9"/>
        <v>93.70479148725549</v>
      </c>
      <c r="AQ138" s="74">
        <f t="shared" si="10"/>
        <v>-47.19350700158246</v>
      </c>
      <c r="AR138" s="75">
        <f t="shared" si="11"/>
        <v>4.461179159426379</v>
      </c>
    </row>
    <row r="139" spans="37:44" ht="27.75">
      <c r="AK139" s="46"/>
      <c r="AL139" s="73">
        <v>223.87211385683293</v>
      </c>
      <c r="AM139" s="74">
        <f t="shared" si="6"/>
        <v>6.596465451821931</v>
      </c>
      <c r="AN139" s="75">
        <f t="shared" si="7"/>
        <v>-89.33082350408735</v>
      </c>
      <c r="AO139" s="74">
        <f t="shared" si="8"/>
        <v>-55.78467795349854</v>
      </c>
      <c r="AP139" s="74">
        <f t="shared" si="9"/>
        <v>93.30347363747251</v>
      </c>
      <c r="AQ139" s="74">
        <f t="shared" si="10"/>
        <v>-49.1882125016766</v>
      </c>
      <c r="AR139" s="75">
        <f t="shared" si="11"/>
        <v>3.9726501333851587</v>
      </c>
    </row>
    <row r="140" spans="37:44" ht="27.75">
      <c r="AK140" s="46"/>
      <c r="AL140" s="73">
        <v>251.18864315095672</v>
      </c>
      <c r="AM140" s="74">
        <f t="shared" si="6"/>
        <v>5.59660433771893</v>
      </c>
      <c r="AN140" s="75">
        <f t="shared" si="7"/>
        <v>-89.40855334806001</v>
      </c>
      <c r="AO140" s="74">
        <f t="shared" si="8"/>
        <v>-56.780606738480586</v>
      </c>
      <c r="AP140" s="74">
        <f t="shared" si="9"/>
        <v>92.94534027392702</v>
      </c>
      <c r="AQ140" s="74">
        <f t="shared" si="10"/>
        <v>-51.184002400761656</v>
      </c>
      <c r="AR140" s="75">
        <f t="shared" si="11"/>
        <v>3.5367869258670055</v>
      </c>
    </row>
    <row r="141" spans="37:44" ht="27.75">
      <c r="AK141" s="46"/>
      <c r="AL141" s="73">
        <v>281.83829312644406</v>
      </c>
      <c r="AM141" s="74">
        <f t="shared" si="6"/>
        <v>4.596714661873622</v>
      </c>
      <c r="AN141" s="75">
        <f t="shared" si="7"/>
        <v>-89.47783212773084</v>
      </c>
      <c r="AO141" s="74">
        <f t="shared" si="8"/>
        <v>-57.777369996680605</v>
      </c>
      <c r="AP141" s="74">
        <f t="shared" si="9"/>
        <v>92.6258283808613</v>
      </c>
      <c r="AQ141" s="74">
        <f t="shared" si="10"/>
        <v>-53.180655334806985</v>
      </c>
      <c r="AR141" s="75">
        <f t="shared" si="11"/>
        <v>3.147996253130458</v>
      </c>
    </row>
    <row r="142" spans="37:44" ht="27.75">
      <c r="AK142" s="46"/>
      <c r="AL142" s="73">
        <v>316.22776601683626</v>
      </c>
      <c r="AM142" s="74">
        <f t="shared" si="6"/>
        <v>3.5968022974619505</v>
      </c>
      <c r="AN142" s="75">
        <f t="shared" si="7"/>
        <v>-89.53957830925307</v>
      </c>
      <c r="AO142" s="74">
        <f t="shared" si="8"/>
        <v>-58.774797153450365</v>
      </c>
      <c r="AP142" s="74">
        <f t="shared" si="9"/>
        <v>92.34083252573188</v>
      </c>
      <c r="AQ142" s="74">
        <f t="shared" si="10"/>
        <v>-55.177994855988416</v>
      </c>
      <c r="AR142" s="75">
        <f t="shared" si="11"/>
        <v>2.80125421647881</v>
      </c>
    </row>
    <row r="143" spans="37:44" ht="27.75">
      <c r="AK143" s="46"/>
      <c r="AL143" s="73">
        <v>354.81338923357345</v>
      </c>
      <c r="AM143" s="74">
        <f t="shared" si="6"/>
        <v>2.596871910144375</v>
      </c>
      <c r="AN143" s="75">
        <f t="shared" si="7"/>
        <v>-89.5946106455622</v>
      </c>
      <c r="AO143" s="74">
        <f t="shared" si="8"/>
        <v>-59.77275232935341</v>
      </c>
      <c r="AP143" s="74">
        <f t="shared" si="9"/>
        <v>92.08666626156925</v>
      </c>
      <c r="AQ143" s="74">
        <f t="shared" si="10"/>
        <v>-57.17588041920904</v>
      </c>
      <c r="AR143" s="75">
        <f t="shared" si="11"/>
        <v>2.4920556160070504</v>
      </c>
    </row>
    <row r="144" spans="37:44" ht="27.75">
      <c r="AK144" s="46"/>
      <c r="AL144" s="73">
        <v>398.10717055349477</v>
      </c>
      <c r="AM144" s="74">
        <f t="shared" si="6"/>
        <v>1.596927206258708</v>
      </c>
      <c r="AN144" s="75">
        <f t="shared" si="7"/>
        <v>-89.64365897071814</v>
      </c>
      <c r="AO144" s="74">
        <f t="shared" si="8"/>
        <v>-60.77112734652826</v>
      </c>
      <c r="AP144" s="74">
        <f t="shared" si="9"/>
        <v>91.8600245189409</v>
      </c>
      <c r="AQ144" s="74">
        <f t="shared" si="10"/>
        <v>-59.174200140269555</v>
      </c>
      <c r="AR144" s="75">
        <f t="shared" si="11"/>
        <v>2.216365548222768</v>
      </c>
    </row>
    <row r="145" spans="37:44" ht="27.75">
      <c r="AK145" s="46"/>
      <c r="AL145" s="73">
        <v>446.6835921509601</v>
      </c>
      <c r="AM145" s="74">
        <f t="shared" si="6"/>
        <v>0.5969711300253395</v>
      </c>
      <c r="AN145" s="75">
        <f t="shared" si="7"/>
        <v>-89.68737383478724</v>
      </c>
      <c r="AO145" s="74">
        <f t="shared" si="8"/>
        <v>-61.769836121317745</v>
      </c>
      <c r="AP145" s="74">
        <f t="shared" si="9"/>
        <v>91.65794779387502</v>
      </c>
      <c r="AQ145" s="74">
        <f t="shared" si="10"/>
        <v>-61.17286499129241</v>
      </c>
      <c r="AR145" s="75">
        <f t="shared" si="11"/>
        <v>1.9705739590877869</v>
      </c>
    </row>
    <row r="146" spans="37:44" ht="27.75">
      <c r="AK146" s="46"/>
      <c r="AL146" s="73">
        <v>501.1872336272687</v>
      </c>
      <c r="AM146" s="74">
        <f t="shared" si="6"/>
        <v>-0.40299397977006435</v>
      </c>
      <c r="AN146" s="75">
        <f t="shared" si="7"/>
        <v>-89.7263351011475</v>
      </c>
      <c r="AO146" s="74">
        <f t="shared" si="8"/>
        <v>-62.76881017711405</v>
      </c>
      <c r="AP146" s="74">
        <f t="shared" si="9"/>
        <v>91.47778859341082</v>
      </c>
      <c r="AQ146" s="74">
        <f t="shared" si="10"/>
        <v>-63.171804156884114</v>
      </c>
      <c r="AR146" s="75">
        <f t="shared" si="11"/>
        <v>1.7514534922633231</v>
      </c>
    </row>
    <row r="147" spans="37:44" ht="27.75">
      <c r="AK147" s="46"/>
      <c r="AL147" s="73">
        <v>562.3413251903448</v>
      </c>
      <c r="AM147" s="74">
        <f t="shared" si="6"/>
        <v>-1.4029662652956831</v>
      </c>
      <c r="AN147" s="75">
        <f t="shared" si="7"/>
        <v>-89.76105961607271</v>
      </c>
      <c r="AO147" s="74">
        <f t="shared" si="8"/>
        <v>-63.76799505913716</v>
      </c>
      <c r="AP147" s="74">
        <f t="shared" si="9"/>
        <v>91.31718036399768</v>
      </c>
      <c r="AQ147" s="74">
        <f t="shared" si="10"/>
        <v>-65.17096132443284</v>
      </c>
      <c r="AR147" s="75">
        <f t="shared" si="11"/>
        <v>1.5561207479249646</v>
      </c>
    </row>
    <row r="148" spans="37:44" ht="27.75">
      <c r="AK148" s="46"/>
      <c r="AL148" s="73">
        <v>630.9573444801881</v>
      </c>
      <c r="AM148" s="74">
        <f t="shared" si="6"/>
        <v>-2.402944250780129</v>
      </c>
      <c r="AN148" s="75">
        <f t="shared" si="7"/>
        <v>-89.79200804937415</v>
      </c>
      <c r="AO148" s="74">
        <f t="shared" si="8"/>
        <v>-64.76734747333174</v>
      </c>
      <c r="AP148" s="74">
        <f t="shared" si="9"/>
        <v>91.17400896918032</v>
      </c>
      <c r="AQ148" s="74">
        <f t="shared" si="10"/>
        <v>-67.17029172411186</v>
      </c>
      <c r="AR148" s="75">
        <f t="shared" si="11"/>
        <v>1.382000919806174</v>
      </c>
    </row>
    <row r="149" spans="37:44" ht="27.75">
      <c r="AK149" s="46"/>
      <c r="AL149" s="73">
        <v>707.9457843841318</v>
      </c>
      <c r="AM149" s="74">
        <f t="shared" si="6"/>
        <v>-3.402926763949326</v>
      </c>
      <c r="AN149" s="75">
        <f t="shared" si="7"/>
        <v>-89.81959099475263</v>
      </c>
      <c r="AO149" s="74">
        <f t="shared" si="8"/>
        <v>-65.76683300532339</v>
      </c>
      <c r="AP149" s="74">
        <f t="shared" si="9"/>
        <v>91.04638667932623</v>
      </c>
      <c r="AQ149" s="74">
        <f t="shared" si="10"/>
        <v>-69.16975976927272</v>
      </c>
      <c r="AR149" s="75">
        <f t="shared" si="11"/>
        <v>1.2267956845736023</v>
      </c>
    </row>
    <row r="150" spans="37:44" ht="27.75">
      <c r="AK150" s="46"/>
      <c r="AL150" s="73">
        <v>794.3282347242744</v>
      </c>
      <c r="AM150" s="74">
        <f t="shared" si="6"/>
        <v>-4.402912873615707</v>
      </c>
      <c r="AN150" s="75">
        <f t="shared" si="7"/>
        <v>-89.84417440930827</v>
      </c>
      <c r="AO150" s="74">
        <f t="shared" si="8"/>
        <v>-66.7664243032172</v>
      </c>
      <c r="AP150" s="74">
        <f t="shared" si="9"/>
        <v>90.93262857113004</v>
      </c>
      <c r="AQ150" s="74">
        <f t="shared" si="10"/>
        <v>-71.16933717683291</v>
      </c>
      <c r="AR150" s="75">
        <f t="shared" si="11"/>
        <v>1.0884541618217725</v>
      </c>
    </row>
    <row r="151" spans="37:44" ht="27.75">
      <c r="AK151" s="46"/>
      <c r="AL151" s="73">
        <v>891.250938133737</v>
      </c>
      <c r="AM151" s="74">
        <f t="shared" si="6"/>
        <v>-5.402901840099858</v>
      </c>
      <c r="AN151" s="75">
        <f t="shared" si="7"/>
        <v>-89.86608446332541</v>
      </c>
      <c r="AO151" s="74">
        <f t="shared" si="8"/>
        <v>-67.76609963079127</v>
      </c>
      <c r="AP151" s="74">
        <f t="shared" si="9"/>
        <v>90.83123119640888</v>
      </c>
      <c r="AQ151" s="74">
        <f t="shared" si="10"/>
        <v>-73.16900147089113</v>
      </c>
      <c r="AR151" s="75">
        <f t="shared" si="11"/>
        <v>0.965146733083472</v>
      </c>
    </row>
    <row r="152" spans="37:44" ht="27.75">
      <c r="AK152" s="46"/>
      <c r="AL152" s="73">
        <v>999.99999999999</v>
      </c>
      <c r="AM152" s="74">
        <f t="shared" si="6"/>
        <v>-6.402893075846718</v>
      </c>
      <c r="AN152" s="75">
        <f t="shared" si="7"/>
        <v>-89.88561186393378</v>
      </c>
      <c r="AO152" s="74">
        <f t="shared" si="8"/>
        <v>-68.7658417161398</v>
      </c>
      <c r="AP152" s="74">
        <f t="shared" si="9"/>
        <v>90.74085335979777</v>
      </c>
      <c r="AQ152" s="74">
        <f t="shared" si="10"/>
        <v>-75.16873479198652</v>
      </c>
      <c r="AR152" s="75">
        <f t="shared" si="11"/>
        <v>0.8552414958639929</v>
      </c>
    </row>
    <row r="153" spans="37:44" ht="27.75">
      <c r="AK153" s="46"/>
      <c r="AL153" s="73">
        <v>1122.0184543019527</v>
      </c>
      <c r="AM153" s="74">
        <f t="shared" si="6"/>
        <v>-7.402886114140395</v>
      </c>
      <c r="AN153" s="75">
        <f t="shared" si="7"/>
        <v>-89.90301570948603</v>
      </c>
      <c r="AO153" s="74">
        <f t="shared" si="8"/>
        <v>-69.76563683577993</v>
      </c>
      <c r="AP153" s="74">
        <f t="shared" si="9"/>
        <v>90.66029883734794</v>
      </c>
      <c r="AQ153" s="74">
        <f t="shared" si="10"/>
        <v>-77.16852294992033</v>
      </c>
      <c r="AR153" s="75">
        <f t="shared" si="11"/>
        <v>0.7572831278619105</v>
      </c>
    </row>
    <row r="154" spans="37:44" ht="27.75">
      <c r="AK154" s="46"/>
      <c r="AL154" s="73">
        <v>1258.9254117941546</v>
      </c>
      <c r="AM154" s="74">
        <f t="shared" si="6"/>
        <v>-8.40288058425254</v>
      </c>
      <c r="AN154" s="75">
        <f t="shared" si="7"/>
        <v>-89.91852692541998</v>
      </c>
      <c r="AO154" s="74">
        <f t="shared" si="8"/>
        <v>-70.76547408628753</v>
      </c>
      <c r="AP154" s="74">
        <f t="shared" si="9"/>
        <v>90.58850086848777</v>
      </c>
      <c r="AQ154" s="74">
        <f t="shared" si="10"/>
        <v>-79.16835467054007</v>
      </c>
      <c r="AR154" s="75">
        <f t="shared" si="11"/>
        <v>0.669973943067788</v>
      </c>
    </row>
    <row r="155" spans="37:44" ht="27.75">
      <c r="AK155" s="46"/>
      <c r="AL155" s="73">
        <v>1412.5375446227395</v>
      </c>
      <c r="AM155" s="74">
        <f t="shared" si="6"/>
        <v>-9.402876191701461</v>
      </c>
      <c r="AN155" s="75">
        <f t="shared" si="7"/>
        <v>-89.93235132693052</v>
      </c>
      <c r="AO155" s="74">
        <f t="shared" si="8"/>
        <v>-71.7653448052034</v>
      </c>
      <c r="AP155" s="74">
        <f t="shared" si="9"/>
        <v>90.52450825937011</v>
      </c>
      <c r="AQ155" s="74">
        <f t="shared" si="10"/>
        <v>-81.16822099690486</v>
      </c>
      <c r="AR155" s="75">
        <f t="shared" si="11"/>
        <v>0.5921569324395932</v>
      </c>
    </row>
    <row r="156" spans="37:44" ht="27.75">
      <c r="AK156" s="46"/>
      <c r="AL156" s="73">
        <v>1584.893192461096</v>
      </c>
      <c r="AM156" s="74">
        <f t="shared" si="6"/>
        <v>-10.402872702570951</v>
      </c>
      <c r="AN156" s="75">
        <f t="shared" si="7"/>
        <v>-89.94467234890159</v>
      </c>
      <c r="AO156" s="74">
        <f t="shared" si="8"/>
        <v>-72.76524211070625</v>
      </c>
      <c r="AP156" s="74">
        <f t="shared" si="9"/>
        <v>90.46747294426022</v>
      </c>
      <c r="AQ156" s="74">
        <f t="shared" si="10"/>
        <v>-83.1681148132772</v>
      </c>
      <c r="AR156" s="75">
        <f t="shared" si="11"/>
        <v>0.5228005953586319</v>
      </c>
    </row>
    <row r="157" spans="37:44" ht="27.75">
      <c r="AK157" s="46"/>
      <c r="AL157" s="73">
        <v>1778.2794100389024</v>
      </c>
      <c r="AM157" s="74">
        <f t="shared" si="6"/>
        <v>-11.402869931054074</v>
      </c>
      <c r="AN157" s="75">
        <f t="shared" si="7"/>
        <v>-89.95565347918969</v>
      </c>
      <c r="AO157" s="74">
        <f t="shared" si="8"/>
        <v>-73.76516053574917</v>
      </c>
      <c r="AP157" s="74">
        <f t="shared" si="9"/>
        <v>90.41663886191951</v>
      </c>
      <c r="AQ157" s="74">
        <f t="shared" si="10"/>
        <v>-85.16803046680324</v>
      </c>
      <c r="AR157" s="75">
        <f t="shared" si="11"/>
        <v>0.4609853827298167</v>
      </c>
    </row>
    <row r="158" spans="37:44" ht="27.75">
      <c r="AK158" s="46"/>
      <c r="AL158" s="73">
        <v>1995.2623149688557</v>
      </c>
      <c r="AM158" s="74">
        <f t="shared" si="6"/>
        <v>-12.402867729558704</v>
      </c>
      <c r="AN158" s="75">
        <f t="shared" si="7"/>
        <v>-89.96544042745184</v>
      </c>
      <c r="AO158" s="74">
        <f t="shared" si="8"/>
        <v>-74.76509573731016</v>
      </c>
      <c r="AP158" s="74">
        <f t="shared" si="9"/>
        <v>90.37133201497507</v>
      </c>
      <c r="AQ158" s="74">
        <f t="shared" si="10"/>
        <v>-87.16796346686887</v>
      </c>
      <c r="AR158" s="75">
        <f t="shared" si="11"/>
        <v>0.40589158752322874</v>
      </c>
    </row>
    <row r="159" spans="37:44" ht="27.75">
      <c r="AK159" s="46"/>
      <c r="AL159" s="73">
        <v>2238.7211385683117</v>
      </c>
      <c r="AM159" s="74">
        <f t="shared" si="6"/>
        <v>-13.402865980847977</v>
      </c>
      <c r="AN159" s="75">
        <f t="shared" si="7"/>
        <v>-89.97416305823015</v>
      </c>
      <c r="AO159" s="74">
        <f t="shared" si="8"/>
        <v>-75.76504426535652</v>
      </c>
      <c r="AP159" s="74">
        <f t="shared" si="9"/>
        <v>90.33095159141631</v>
      </c>
      <c r="AQ159" s="74">
        <f t="shared" si="10"/>
        <v>-89.1679102462045</v>
      </c>
      <c r="AR159" s="75">
        <f t="shared" si="11"/>
        <v>0.35678853318616177</v>
      </c>
    </row>
    <row r="160" spans="37:44" ht="27.75">
      <c r="AK160" s="46"/>
      <c r="AL160" s="73">
        <v>2511.8864315095475</v>
      </c>
      <c r="AM160" s="74">
        <f t="shared" si="6"/>
        <v>-14.402864591797169</v>
      </c>
      <c r="AN160" s="75">
        <f t="shared" si="7"/>
        <v>-89.98193711389649</v>
      </c>
      <c r="AO160" s="74">
        <f t="shared" si="8"/>
        <v>-76.76500337927365</v>
      </c>
      <c r="AP160" s="74">
        <f t="shared" si="9"/>
        <v>90.29496203823062</v>
      </c>
      <c r="AQ160" s="74">
        <f t="shared" si="10"/>
        <v>-91.16786797107082</v>
      </c>
      <c r="AR160" s="75">
        <f t="shared" si="11"/>
        <v>0.31302492433412965</v>
      </c>
    </row>
    <row r="161" spans="37:44" ht="27.75">
      <c r="AK161" s="46"/>
      <c r="AL161" s="73">
        <v>2818.382931264416</v>
      </c>
      <c r="AM161" s="74">
        <f aca="true" t="shared" si="12" ref="AM161:AM192">20*LOG10(D$59/SQRT(1+(AL161/D$55)^2))</f>
        <v>-15.402863488434576</v>
      </c>
      <c r="AN161" s="75">
        <f aca="true" t="shared" si="13" ref="AN161:AN192">-(180/3.14)*ATAN(AL161/D$55)</f>
        <v>-89.98886575028604</v>
      </c>
      <c r="AO161" s="74">
        <f aca="true" t="shared" si="14" ref="AO161:AO192">-20*LOG10(AL161/D$56)+20*LOG10(SQRT(1+(AL161/D$57)^2))-20*LOG10(SQRT(1+(AL161/D$58)^2))</f>
        <v>-77.76497090201536</v>
      </c>
      <c r="AP161" s="74">
        <f aca="true" t="shared" si="15" ref="AP161:AP192">-90+(180/3.14)*ATAN(AL161/D$57)-(180/3.14)*ATAN(AL161/D$58)+180</f>
        <v>90.26288598754238</v>
      </c>
      <c r="AQ161" s="74">
        <f aca="true" t="shared" si="16" ref="AQ161:AQ192">AM161+AO161</f>
        <v>-93.16783439044994</v>
      </c>
      <c r="AR161" s="75">
        <f aca="true" t="shared" si="17" ref="AR161:AR192">AN161+AP161</f>
        <v>0.2740202372563374</v>
      </c>
    </row>
    <row r="162" spans="37:44" ht="27.75">
      <c r="AK162" s="46"/>
      <c r="AL162" s="73">
        <v>3162.2776601683354</v>
      </c>
      <c r="AM162" s="74">
        <f t="shared" si="12"/>
        <v>-16.402862612002316</v>
      </c>
      <c r="AN162" s="75">
        <f t="shared" si="13"/>
        <v>-89.99504090537262</v>
      </c>
      <c r="AO162" s="74">
        <f t="shared" si="14"/>
        <v>-78.76494510423028</v>
      </c>
      <c r="AP162" s="74">
        <f t="shared" si="15"/>
        <v>90.23429794531383</v>
      </c>
      <c r="AQ162" s="74">
        <f t="shared" si="16"/>
        <v>-95.1678077162326</v>
      </c>
      <c r="AR162" s="75">
        <f t="shared" si="17"/>
        <v>0.23925703994120795</v>
      </c>
    </row>
    <row r="163" spans="37:44" ht="27.75">
      <c r="AK163" s="46"/>
      <c r="AL163" s="73">
        <v>3548.1338923357034</v>
      </c>
      <c r="AM163" s="74">
        <f t="shared" si="12"/>
        <v>-17.402861915827295</v>
      </c>
      <c r="AN163" s="75">
        <f t="shared" si="13"/>
        <v>-90.00054451913093</v>
      </c>
      <c r="AO163" s="74">
        <f t="shared" si="14"/>
        <v>-79.76492461220641</v>
      </c>
      <c r="AP163" s="74">
        <f t="shared" si="15"/>
        <v>90.20881866164038</v>
      </c>
      <c r="AQ163" s="74">
        <f t="shared" si="16"/>
        <v>-97.1677865280337</v>
      </c>
      <c r="AR163" s="75">
        <f t="shared" si="17"/>
        <v>0.20827414250945253</v>
      </c>
    </row>
    <row r="164" spans="37:44" ht="27.75">
      <c r="AK164" s="46"/>
      <c r="AL164" s="73">
        <v>3981.0717055349132</v>
      </c>
      <c r="AM164" s="74">
        <f t="shared" si="12"/>
        <v>-18.402861362835743</v>
      </c>
      <c r="AN164" s="75">
        <f t="shared" si="13"/>
        <v>-90.00544962076002</v>
      </c>
      <c r="AO164" s="74">
        <f t="shared" si="14"/>
        <v>-80.7649083347409</v>
      </c>
      <c r="AP164" s="74">
        <f t="shared" si="15"/>
        <v>90.18611010990497</v>
      </c>
      <c r="AQ164" s="74">
        <f t="shared" si="16"/>
        <v>-99.16776969757663</v>
      </c>
      <c r="AR164" s="75">
        <f t="shared" si="17"/>
        <v>0.18066048914495525</v>
      </c>
    </row>
    <row r="165" spans="37:44" ht="27.75">
      <c r="AK165" s="46"/>
      <c r="AL165" s="73">
        <v>4466.8359215095625</v>
      </c>
      <c r="AM165" s="74">
        <f t="shared" si="12"/>
        <v>-19.40286092357889</v>
      </c>
      <c r="AN165" s="75">
        <f t="shared" si="13"/>
        <v>-90.0098212976869</v>
      </c>
      <c r="AO165" s="74">
        <f t="shared" si="14"/>
        <v>-81.76489540504474</v>
      </c>
      <c r="AP165" s="74">
        <f t="shared" si="15"/>
        <v>90.16587100956178</v>
      </c>
      <c r="AQ165" s="74">
        <f t="shared" si="16"/>
        <v>-101.16775632862362</v>
      </c>
      <c r="AR165" s="75">
        <f t="shared" si="17"/>
        <v>0.1560497118748856</v>
      </c>
    </row>
    <row r="166" spans="37:44" ht="27.75">
      <c r="AK166" s="46"/>
      <c r="AL166" s="73">
        <v>5011.872336272643</v>
      </c>
      <c r="AM166" s="74">
        <f t="shared" si="12"/>
        <v>-20.402860574664736</v>
      </c>
      <c r="AN166" s="75">
        <f t="shared" si="13"/>
        <v>-90.01371755920198</v>
      </c>
      <c r="AO166" s="74">
        <f t="shared" si="14"/>
        <v>-82.76488513459319</v>
      </c>
      <c r="AP166" s="74">
        <f t="shared" si="15"/>
        <v>90.14783283412584</v>
      </c>
      <c r="AQ166" s="74">
        <f t="shared" si="16"/>
        <v>-103.16774570925793</v>
      </c>
      <c r="AR166" s="75">
        <f t="shared" si="17"/>
        <v>0.13411527492385744</v>
      </c>
    </row>
    <row r="167" spans="37:44" ht="27.75">
      <c r="AK167" s="46"/>
      <c r="AL167" s="73">
        <v>5623.413251903399</v>
      </c>
      <c r="AM167" s="74">
        <f t="shared" si="12"/>
        <v>-21.402860297512344</v>
      </c>
      <c r="AN167" s="75">
        <f t="shared" si="13"/>
        <v>-90.01719010618226</v>
      </c>
      <c r="AO167" s="74">
        <f t="shared" si="14"/>
        <v>-83.76487697646537</v>
      </c>
      <c r="AP167" s="74">
        <f t="shared" si="15"/>
        <v>90.13175625209549</v>
      </c>
      <c r="AQ167" s="74">
        <f t="shared" si="16"/>
        <v>-105.16773727397772</v>
      </c>
      <c r="AR167" s="75">
        <f t="shared" si="17"/>
        <v>0.11456614591322989</v>
      </c>
    </row>
    <row r="168" spans="37:44" ht="27.75">
      <c r="AK168" s="46"/>
      <c r="AL168" s="73">
        <v>6309.573444801827</v>
      </c>
      <c r="AM168" s="74">
        <f t="shared" si="12"/>
        <v>-22.40286007736237</v>
      </c>
      <c r="AN168" s="75">
        <f t="shared" si="13"/>
        <v>-90.02028501711293</v>
      </c>
      <c r="AO168" s="74">
        <f t="shared" si="14"/>
        <v>-84.76487049622261</v>
      </c>
      <c r="AP168" s="74">
        <f t="shared" si="15"/>
        <v>90.11742795407547</v>
      </c>
      <c r="AQ168" s="74">
        <f t="shared" si="16"/>
        <v>-107.16773057358498</v>
      </c>
      <c r="AR168" s="75">
        <f t="shared" si="17"/>
        <v>0.09714293696254117</v>
      </c>
    </row>
    <row r="169" spans="37:44" ht="27.75">
      <c r="AK169" s="46"/>
      <c r="AL169" s="73">
        <v>7079.45784384127</v>
      </c>
      <c r="AM169" s="74">
        <f t="shared" si="12"/>
        <v>-23.40285990249103</v>
      </c>
      <c r="AN169" s="75">
        <f t="shared" si="13"/>
        <v>-90.02304335950852</v>
      </c>
      <c r="AO169" s="74">
        <f t="shared" si="14"/>
        <v>-85.7648653487756</v>
      </c>
      <c r="AP169" s="74">
        <f t="shared" si="15"/>
        <v>90.1046578243487</v>
      </c>
      <c r="AQ169" s="74">
        <f t="shared" si="16"/>
        <v>-109.16772525126663</v>
      </c>
      <c r="AR169" s="75">
        <f t="shared" si="17"/>
        <v>0.08161446484018597</v>
      </c>
    </row>
    <row r="170" spans="37:44" ht="27.75">
      <c r="AK170" s="46"/>
      <c r="AL170" s="73">
        <v>7943.282347242688</v>
      </c>
      <c r="AM170" s="74">
        <f t="shared" si="12"/>
        <v>-24.40285976358577</v>
      </c>
      <c r="AN170" s="75">
        <f t="shared" si="13"/>
        <v>-90.0255017348449</v>
      </c>
      <c r="AO170" s="74">
        <f t="shared" si="14"/>
        <v>-86.7648612600085</v>
      </c>
      <c r="AP170" s="74">
        <f t="shared" si="15"/>
        <v>90.09327641961316</v>
      </c>
      <c r="AQ170" s="74">
        <f t="shared" si="16"/>
        <v>-111.16772102359427</v>
      </c>
      <c r="AR170" s="75">
        <f t="shared" si="17"/>
        <v>0.06777468476826698</v>
      </c>
    </row>
    <row r="171" spans="37:44" ht="27.75">
      <c r="AK171" s="46"/>
      <c r="AL171" s="73">
        <v>8912.50938133731</v>
      </c>
      <c r="AM171" s="74">
        <f t="shared" si="12"/>
        <v>-25.4028596532494</v>
      </c>
      <c r="AN171" s="75">
        <f t="shared" si="13"/>
        <v>-90.02769276423246</v>
      </c>
      <c r="AO171" s="74">
        <f t="shared" si="14"/>
        <v>-87.76485801218249</v>
      </c>
      <c r="AP171" s="74">
        <f t="shared" si="15"/>
        <v>90.08313272160346</v>
      </c>
      <c r="AQ171" s="74">
        <f t="shared" si="16"/>
        <v>-113.1677176654319</v>
      </c>
      <c r="AR171" s="75">
        <f t="shared" si="17"/>
        <v>0.055439957371007154</v>
      </c>
    </row>
    <row r="172" spans="37:44" ht="27.75">
      <c r="AK172" s="46"/>
      <c r="AL172" s="73">
        <v>9999.99999999983</v>
      </c>
      <c r="AM172" s="74">
        <f t="shared" si="12"/>
        <v>-26.4028595656061</v>
      </c>
      <c r="AN172" s="75">
        <f t="shared" si="13"/>
        <v>-90.02964552127402</v>
      </c>
      <c r="AO172" s="74">
        <f t="shared" si="14"/>
        <v>-88.76485543234075</v>
      </c>
      <c r="AP172" s="74">
        <f t="shared" si="15"/>
        <v>90.07409213390054</v>
      </c>
      <c r="AQ172" s="74">
        <f t="shared" si="16"/>
        <v>-115.16771499794686</v>
      </c>
      <c r="AR172" s="75">
        <f t="shared" si="17"/>
        <v>0.0444466126265155</v>
      </c>
    </row>
    <row r="173" spans="37:44" ht="27.75">
      <c r="AK173" s="46"/>
      <c r="AL173" s="73">
        <v>11220.184543019439</v>
      </c>
      <c r="AM173" s="74">
        <f t="shared" si="12"/>
        <v>-27.40285949598855</v>
      </c>
      <c r="AN173" s="75">
        <f t="shared" si="13"/>
        <v>-90.03138591785067</v>
      </c>
      <c r="AO173" s="74">
        <f t="shared" si="14"/>
        <v>-89.76485338309847</v>
      </c>
      <c r="AP173" s="74">
        <f t="shared" si="15"/>
        <v>90.06603469643574</v>
      </c>
      <c r="AQ173" s="74">
        <f t="shared" si="16"/>
        <v>-117.16771287908702</v>
      </c>
      <c r="AR173" s="75">
        <f t="shared" si="17"/>
        <v>0.03464877858506554</v>
      </c>
    </row>
    <row r="174" spans="37:44" ht="27.75">
      <c r="AK174" s="46"/>
      <c r="AL174" s="73">
        <v>12589.254117941447</v>
      </c>
      <c r="AM174" s="74">
        <f t="shared" si="12"/>
        <v>-28.402859440689365</v>
      </c>
      <c r="AN174" s="75">
        <f t="shared" si="13"/>
        <v>-90.03293704795463</v>
      </c>
      <c r="AO174" s="74">
        <f t="shared" si="14"/>
        <v>-90.76485175532676</v>
      </c>
      <c r="AP174" s="74">
        <f t="shared" si="15"/>
        <v>90.05885349405978</v>
      </c>
      <c r="AQ174" s="74">
        <f t="shared" si="16"/>
        <v>-119.16771119601613</v>
      </c>
      <c r="AR174" s="75">
        <f t="shared" si="17"/>
        <v>0.025916446105142654</v>
      </c>
    </row>
    <row r="175" spans="37:44" ht="27.75">
      <c r="AK175" s="46"/>
      <c r="AL175" s="73">
        <v>14125.375446227285</v>
      </c>
      <c r="AM175" s="74">
        <f t="shared" si="12"/>
        <v>-29.40285939676366</v>
      </c>
      <c r="AN175" s="75">
        <f t="shared" si="13"/>
        <v>-90.03431949413068</v>
      </c>
      <c r="AO175" s="74">
        <f t="shared" si="14"/>
        <v>-91.76485046234126</v>
      </c>
      <c r="AP175" s="74">
        <f t="shared" si="15"/>
        <v>90.05245323810246</v>
      </c>
      <c r="AQ175" s="74">
        <f t="shared" si="16"/>
        <v>-121.16770985910492</v>
      </c>
      <c r="AR175" s="75">
        <f t="shared" si="17"/>
        <v>0.018133743971773697</v>
      </c>
    </row>
    <row r="176" spans="37:44" ht="27.75">
      <c r="AK176" s="46"/>
      <c r="AL176" s="73">
        <v>15848.931924610837</v>
      </c>
      <c r="AM176" s="74">
        <f t="shared" si="12"/>
        <v>-30.402859361872228</v>
      </c>
      <c r="AN176" s="75">
        <f t="shared" si="13"/>
        <v>-90.03555160059318</v>
      </c>
      <c r="AO176" s="74">
        <f t="shared" si="14"/>
        <v>-92.76484943528608</v>
      </c>
      <c r="AP176" s="74">
        <f t="shared" si="15"/>
        <v>90.04674900213357</v>
      </c>
      <c r="AQ176" s="74">
        <f t="shared" si="16"/>
        <v>-123.16770879715831</v>
      </c>
      <c r="AR176" s="75">
        <f t="shared" si="17"/>
        <v>0.011197401540385954</v>
      </c>
    </row>
    <row r="177" spans="37:44" ht="27.75">
      <c r="AK177" s="46"/>
      <c r="AL177" s="73">
        <v>17782.794100388885</v>
      </c>
      <c r="AM177" s="74">
        <f t="shared" si="12"/>
        <v>-31.402859334156975</v>
      </c>
      <c r="AN177" s="75">
        <f t="shared" si="13"/>
        <v>-90.03664971664166</v>
      </c>
      <c r="AO177" s="74">
        <f t="shared" si="14"/>
        <v>-93.76484861946699</v>
      </c>
      <c r="AP177" s="74">
        <f t="shared" si="15"/>
        <v>90.04166509517047</v>
      </c>
      <c r="AQ177" s="74">
        <f t="shared" si="16"/>
        <v>-125.16770795362396</v>
      </c>
      <c r="AR177" s="75">
        <f t="shared" si="17"/>
        <v>0.005015378528810288</v>
      </c>
    </row>
    <row r="178" spans="37:44" ht="27.75">
      <c r="AK178" s="46"/>
      <c r="AL178" s="73">
        <v>19952.623149688403</v>
      </c>
      <c r="AM178" s="74">
        <f t="shared" si="12"/>
        <v>-32.40285931214197</v>
      </c>
      <c r="AN178" s="75">
        <f t="shared" si="13"/>
        <v>-90.03762841360563</v>
      </c>
      <c r="AO178" s="74">
        <f t="shared" si="14"/>
        <v>-94.76484797143871</v>
      </c>
      <c r="AP178" s="74">
        <f t="shared" si="15"/>
        <v>90.03713405739671</v>
      </c>
      <c r="AQ178" s="74">
        <f t="shared" si="16"/>
        <v>-127.16770728358068</v>
      </c>
      <c r="AR178" s="75">
        <f t="shared" si="17"/>
        <v>-0.0004943562089181341</v>
      </c>
    </row>
    <row r="179" spans="37:44" ht="27.75">
      <c r="AK179" s="46"/>
      <c r="AL179" s="73">
        <v>22387.211385682942</v>
      </c>
      <c r="AM179" s="74">
        <f t="shared" si="12"/>
        <v>-33.40285929465483</v>
      </c>
      <c r="AN179" s="75">
        <f t="shared" si="13"/>
        <v>-90.03850067819688</v>
      </c>
      <c r="AO179" s="74">
        <f t="shared" si="14"/>
        <v>-95.76484745669148</v>
      </c>
      <c r="AP179" s="74">
        <f t="shared" si="15"/>
        <v>90.03309576507634</v>
      </c>
      <c r="AQ179" s="74">
        <f t="shared" si="16"/>
        <v>-129.16770675134632</v>
      </c>
      <c r="AR179" s="75">
        <f t="shared" si="17"/>
        <v>-0.005404913120543142</v>
      </c>
    </row>
    <row r="180" spans="37:44" ht="27.75">
      <c r="AK180" s="46"/>
      <c r="AL180" s="73">
        <v>25118.86431509528</v>
      </c>
      <c r="AM180" s="74">
        <f t="shared" si="12"/>
        <v>-34.4028592807643</v>
      </c>
      <c r="AN180" s="75">
        <f t="shared" si="13"/>
        <v>-90.03927808483493</v>
      </c>
      <c r="AO180" s="74">
        <f t="shared" si="14"/>
        <v>-96.76484704781318</v>
      </c>
      <c r="AP180" s="74">
        <f t="shared" si="15"/>
        <v>90.02949663279452</v>
      </c>
      <c r="AQ180" s="74">
        <f t="shared" si="16"/>
        <v>-131.16770632857748</v>
      </c>
      <c r="AR180" s="75">
        <f t="shared" si="17"/>
        <v>-0.009781452040414251</v>
      </c>
    </row>
    <row r="181" spans="37:44" ht="27.75">
      <c r="AK181" s="46"/>
      <c r="AL181" s="73">
        <v>28183.829312643942</v>
      </c>
      <c r="AM181" s="74">
        <f t="shared" si="12"/>
        <v>-35.402859269730655</v>
      </c>
      <c r="AN181" s="75">
        <f t="shared" si="13"/>
        <v>-90.0399709492324</v>
      </c>
      <c r="AO181" s="74">
        <f t="shared" si="14"/>
        <v>-97.76484672302956</v>
      </c>
      <c r="AP181" s="74">
        <f t="shared" si="15"/>
        <v>90.02628890244418</v>
      </c>
      <c r="AQ181" s="74">
        <f t="shared" si="16"/>
        <v>-133.1677059927602</v>
      </c>
      <c r="AR181" s="75">
        <f t="shared" si="17"/>
        <v>-0.013682046788218827</v>
      </c>
    </row>
    <row r="182" spans="37:44" ht="27.75">
      <c r="AK182" s="46"/>
      <c r="AL182" s="73">
        <v>31622.77660168311</v>
      </c>
      <c r="AM182" s="74">
        <f t="shared" si="12"/>
        <v>-36.40285926096632</v>
      </c>
      <c r="AN182" s="75">
        <f t="shared" si="13"/>
        <v>-90.04058846527803</v>
      </c>
      <c r="AO182" s="74">
        <f t="shared" si="14"/>
        <v>-98.76484646504477</v>
      </c>
      <c r="AP182" s="74">
        <f t="shared" si="15"/>
        <v>90.02343000952821</v>
      </c>
      <c r="AQ182" s="74">
        <f t="shared" si="16"/>
        <v>-135.1677057260111</v>
      </c>
      <c r="AR182" s="75">
        <f t="shared" si="17"/>
        <v>-0.01715845574982211</v>
      </c>
    </row>
    <row r="183" spans="37:44" ht="27.75">
      <c r="AK183" s="46"/>
      <c r="AL183" s="73">
        <v>35481.33892335676</v>
      </c>
      <c r="AM183" s="74">
        <f t="shared" si="12"/>
        <v>-37.40285925400456</v>
      </c>
      <c r="AN183" s="75">
        <f t="shared" si="13"/>
        <v>-90.04113882703402</v>
      </c>
      <c r="AO183" s="74">
        <f t="shared" si="14"/>
        <v>-99.76484626012014</v>
      </c>
      <c r="AP183" s="74">
        <f t="shared" si="15"/>
        <v>90.02088201837057</v>
      </c>
      <c r="AQ183" s="74">
        <f t="shared" si="16"/>
        <v>-137.1677055141247</v>
      </c>
      <c r="AR183" s="75">
        <f t="shared" si="17"/>
        <v>-0.020256808663447146</v>
      </c>
    </row>
    <row r="184" spans="37:44" ht="27.75">
      <c r="AK184" s="46"/>
      <c r="AL184" s="73">
        <v>39810.717055348825</v>
      </c>
      <c r="AM184" s="74">
        <f t="shared" si="12"/>
        <v>-38.40285924847464</v>
      </c>
      <c r="AN184" s="75">
        <f t="shared" si="13"/>
        <v>-90.04162933746606</v>
      </c>
      <c r="AO184" s="74">
        <f t="shared" si="14"/>
        <v>-100.76484609734273</v>
      </c>
      <c r="AP184" s="74">
        <f t="shared" si="15"/>
        <v>90.01861111874473</v>
      </c>
      <c r="AQ184" s="74">
        <f t="shared" si="16"/>
        <v>-139.16770534581735</v>
      </c>
      <c r="AR184" s="75">
        <f t="shared" si="17"/>
        <v>-0.023018218721333028</v>
      </c>
    </row>
    <row r="185" spans="37:44" ht="27.75">
      <c r="AK185" s="46"/>
      <c r="AL185" s="73">
        <v>44668.35921509528</v>
      </c>
      <c r="AM185" s="74">
        <f t="shared" si="12"/>
        <v>-39.402859244082066</v>
      </c>
      <c r="AN185" s="75">
        <f t="shared" si="13"/>
        <v>-90.04206650534928</v>
      </c>
      <c r="AO185" s="74">
        <f t="shared" si="14"/>
        <v>-101.764845968044</v>
      </c>
      <c r="AP185" s="74">
        <f t="shared" si="15"/>
        <v>90.01658717724048</v>
      </c>
      <c r="AQ185" s="74">
        <f t="shared" si="16"/>
        <v>-141.16770521212607</v>
      </c>
      <c r="AR185" s="75">
        <f t="shared" si="17"/>
        <v>-0.02547932810880127</v>
      </c>
    </row>
    <row r="186" spans="37:44" ht="27.75">
      <c r="AK186" s="46"/>
      <c r="AL186" s="73">
        <v>50118.72336272604</v>
      </c>
      <c r="AM186" s="74">
        <f t="shared" si="12"/>
        <v>-40.40285924059292</v>
      </c>
      <c r="AN186" s="75">
        <f t="shared" si="13"/>
        <v>-90.04245613163567</v>
      </c>
      <c r="AO186" s="74">
        <f t="shared" si="14"/>
        <v>-102.76484586533837</v>
      </c>
      <c r="AP186" s="74">
        <f t="shared" si="15"/>
        <v>90.01478333741781</v>
      </c>
      <c r="AQ186" s="74">
        <f t="shared" si="16"/>
        <v>-143.1677051059313</v>
      </c>
      <c r="AR186" s="75">
        <f t="shared" si="17"/>
        <v>-0.02767279421786384</v>
      </c>
    </row>
    <row r="187" spans="37:44" ht="27.75">
      <c r="AK187" s="46"/>
      <c r="AL187" s="73">
        <v>56234.132519033556</v>
      </c>
      <c r="AM187" s="74">
        <f t="shared" si="12"/>
        <v>-41.40285923782139</v>
      </c>
      <c r="AN187" s="75">
        <f t="shared" si="13"/>
        <v>-90.04280338642918</v>
      </c>
      <c r="AO187" s="74">
        <f t="shared" si="14"/>
        <v>-103.7648457837564</v>
      </c>
      <c r="AP187" s="74">
        <f t="shared" si="15"/>
        <v>90.01317566344237</v>
      </c>
      <c r="AQ187" s="74">
        <f t="shared" si="16"/>
        <v>-145.16770502157777</v>
      </c>
      <c r="AR187" s="75">
        <f t="shared" si="17"/>
        <v>-0.029627722986816707</v>
      </c>
    </row>
    <row r="188" spans="37:44" ht="27.75">
      <c r="AK188" s="46"/>
      <c r="AL188" s="73">
        <v>63095.73444801778</v>
      </c>
      <c r="AM188" s="74">
        <f t="shared" si="12"/>
        <v>-42.402859235619886</v>
      </c>
      <c r="AN188" s="75">
        <f t="shared" si="13"/>
        <v>-90.04311287758985</v>
      </c>
      <c r="AO188" s="74">
        <f t="shared" si="14"/>
        <v>-104.76484571895354</v>
      </c>
      <c r="AP188" s="74">
        <f t="shared" si="15"/>
        <v>90.01174282247433</v>
      </c>
      <c r="AQ188" s="74">
        <f t="shared" si="16"/>
        <v>-147.16770495457342</v>
      </c>
      <c r="AR188" s="75">
        <f t="shared" si="17"/>
        <v>-0.03137005511551649</v>
      </c>
    </row>
    <row r="189" spans="37:44" ht="27.75">
      <c r="AK189" s="46"/>
      <c r="AL189" s="73">
        <v>70794.57843841202</v>
      </c>
      <c r="AM189" s="74">
        <f t="shared" si="12"/>
        <v>-43.40285923387117</v>
      </c>
      <c r="AN189" s="75">
        <f t="shared" si="13"/>
        <v>-90.04338871187727</v>
      </c>
      <c r="AO189" s="74">
        <f t="shared" si="14"/>
        <v>-105.7648456674788</v>
      </c>
      <c r="AP189" s="74">
        <f t="shared" si="15"/>
        <v>90.01046580159671</v>
      </c>
      <c r="AQ189" s="74">
        <f t="shared" si="16"/>
        <v>-149.16770490134996</v>
      </c>
      <c r="AR189" s="75">
        <f t="shared" si="17"/>
        <v>-0.03292291028056127</v>
      </c>
    </row>
    <row r="190" spans="37:44" ht="27.75">
      <c r="AK190" s="46"/>
      <c r="AL190" s="73">
        <v>79432.82347242613</v>
      </c>
      <c r="AM190" s="74">
        <f t="shared" si="12"/>
        <v>-44.40285923248211</v>
      </c>
      <c r="AN190" s="75">
        <f t="shared" si="13"/>
        <v>-90.04363454944479</v>
      </c>
      <c r="AO190" s="74">
        <f t="shared" si="14"/>
        <v>-106.76484562659093</v>
      </c>
      <c r="AP190" s="74">
        <f t="shared" si="15"/>
        <v>90.00932765552686</v>
      </c>
      <c r="AQ190" s="74">
        <f t="shared" si="16"/>
        <v>-151.16770485907304</v>
      </c>
      <c r="AR190" s="75">
        <f t="shared" si="17"/>
        <v>-0.03430689391792896</v>
      </c>
    </row>
    <row r="191" spans="37:44" ht="27.75">
      <c r="AK191" s="46"/>
      <c r="AL191" s="73">
        <v>89125.09381337224</v>
      </c>
      <c r="AM191" s="74">
        <f t="shared" si="12"/>
        <v>-45.40285923137874</v>
      </c>
      <c r="AN191" s="75">
        <f t="shared" si="13"/>
        <v>-90.04385365240753</v>
      </c>
      <c r="AO191" s="74">
        <f t="shared" si="14"/>
        <v>-107.76484559411257</v>
      </c>
      <c r="AP191" s="74">
        <f t="shared" si="15"/>
        <v>90.00831328176403</v>
      </c>
      <c r="AQ191" s="74">
        <f t="shared" si="16"/>
        <v>-153.1677048254913</v>
      </c>
      <c r="AR191" s="75">
        <f t="shared" si="17"/>
        <v>-0.03554037064350268</v>
      </c>
    </row>
    <row r="192" spans="37:44" ht="27.75">
      <c r="AK192" s="46"/>
      <c r="AL192" s="73">
        <v>99999.99999999753</v>
      </c>
      <c r="AM192" s="74">
        <f t="shared" si="12"/>
        <v>-46.40285923050232</v>
      </c>
      <c r="AN192" s="75">
        <f t="shared" si="13"/>
        <v>-90.04404892812866</v>
      </c>
      <c r="AO192" s="74">
        <f t="shared" si="14"/>
        <v>-108.76484556831407</v>
      </c>
      <c r="AP192" s="74">
        <f t="shared" si="15"/>
        <v>90.00740922018893</v>
      </c>
      <c r="AQ192" s="74">
        <f t="shared" si="16"/>
        <v>-155.1677047988164</v>
      </c>
      <c r="AR192" s="75">
        <f t="shared" si="17"/>
        <v>-0.03663970793972737</v>
      </c>
    </row>
  </sheetData>
  <sheetProtection/>
  <mergeCells count="3">
    <mergeCell ref="AM30:AN30"/>
    <mergeCell ref="AO30:AP30"/>
    <mergeCell ref="AQ30:AR30"/>
  </mergeCells>
  <conditionalFormatting sqref="D9">
    <cfRule type="cellIs" priority="27" dxfId="2" operator="lessThan" stopIfTrue="1">
      <formula>$D$8*1.414</formula>
    </cfRule>
  </conditionalFormatting>
  <conditionalFormatting sqref="D10">
    <cfRule type="cellIs" priority="26" dxfId="2" operator="notBetween" stopIfTrue="1">
      <formula>50</formula>
      <formula>100</formula>
    </cfRule>
  </conditionalFormatting>
  <conditionalFormatting sqref="D17">
    <cfRule type="cellIs" priority="25" dxfId="2" operator="notBetween" stopIfTrue="1">
      <formula>30</formula>
      <formula>90</formula>
    </cfRule>
  </conditionalFormatting>
  <conditionalFormatting sqref="D16">
    <cfRule type="cellIs" priority="24" dxfId="2" operator="notBetween" stopIfTrue="1">
      <formula>$D$6/25</formula>
      <formula>"$D$6"</formula>
    </cfRule>
  </conditionalFormatting>
  <conditionalFormatting sqref="D24">
    <cfRule type="cellIs" priority="22" dxfId="2" operator="lessThanOrEqual" stopIfTrue="1">
      <formula>$D$23</formula>
    </cfRule>
  </conditionalFormatting>
  <conditionalFormatting sqref="D27">
    <cfRule type="cellIs" priority="21" dxfId="2" operator="greaterThan" stopIfTrue="1">
      <formula>$D$26*0.75</formula>
    </cfRule>
  </conditionalFormatting>
  <conditionalFormatting sqref="D34">
    <cfRule type="cellIs" priority="19" dxfId="2" operator="greaterThan" stopIfTrue="1">
      <formula>50</formula>
    </cfRule>
    <cfRule type="cellIs" priority="20" dxfId="2" operator="greaterThan" stopIfTrue="1">
      <formula>50</formula>
    </cfRule>
  </conditionalFormatting>
  <conditionalFormatting sqref="D39">
    <cfRule type="cellIs" priority="18" dxfId="2" operator="lessThan" stopIfTrue="1">
      <formula>20</formula>
    </cfRule>
  </conditionalFormatting>
  <conditionalFormatting sqref="D41">
    <cfRule type="cellIs" priority="17" dxfId="2" operator="greaterThan" stopIfTrue="1">
      <formula>5600</formula>
    </cfRule>
  </conditionalFormatting>
  <conditionalFormatting sqref="D42">
    <cfRule type="cellIs" priority="15" dxfId="2" operator="notBetween" stopIfTrue="1">
      <formula>124.2</formula>
      <formula>151.8</formula>
    </cfRule>
  </conditionalFormatting>
  <conditionalFormatting sqref="D43">
    <cfRule type="cellIs" priority="14" dxfId="2" operator="notEqual" stopIfTrue="1">
      <formula>10</formula>
    </cfRule>
  </conditionalFormatting>
  <conditionalFormatting sqref="D45">
    <cfRule type="cellIs" priority="13" dxfId="2" operator="notBetween" stopIfTrue="1">
      <formula>0.85*$D$44</formula>
      <formula>1.15*$D$44</formula>
    </cfRule>
  </conditionalFormatting>
  <conditionalFormatting sqref="D50">
    <cfRule type="cellIs" priority="12" dxfId="2" operator="notBetween" stopIfTrue="1">
      <formula>0.8*$D$49</formula>
      <formula>"1.2*$D$49"</formula>
    </cfRule>
  </conditionalFormatting>
  <conditionalFormatting sqref="D52">
    <cfRule type="cellIs" priority="11" dxfId="2" operator="notBetween" stopIfTrue="1">
      <formula>0.8*$D$51</formula>
      <formula>1.2*$D$51</formula>
    </cfRule>
  </conditionalFormatting>
  <conditionalFormatting sqref="D54">
    <cfRule type="cellIs" priority="10" dxfId="2" operator="notBetween" stopIfTrue="1">
      <formula>0.8*$D$53</formula>
      <formula>1.2*$D$53</formula>
    </cfRule>
  </conditionalFormatting>
  <conditionalFormatting sqref="D85">
    <cfRule type="cellIs" priority="9" dxfId="2" operator="notBetween" stopIfTrue="1">
      <formula>$D$84/2</formula>
      <formula>$D$84</formula>
    </cfRule>
  </conditionalFormatting>
  <conditionalFormatting sqref="N9">
    <cfRule type="cellIs" priority="8" dxfId="2" operator="lessThan" stopIfTrue="1">
      <formula>$D$8*1.414</formula>
    </cfRule>
  </conditionalFormatting>
  <conditionalFormatting sqref="N10">
    <cfRule type="cellIs" priority="7" dxfId="2" operator="notBetween" stopIfTrue="1">
      <formula>50</formula>
      <formula>100</formula>
    </cfRule>
  </conditionalFormatting>
  <conditionalFormatting sqref="N17">
    <cfRule type="cellIs" priority="6" dxfId="2" operator="notBetween" stopIfTrue="1">
      <formula>30</formula>
      <formula>90</formula>
    </cfRule>
  </conditionalFormatting>
  <conditionalFormatting sqref="N16">
    <cfRule type="cellIs" priority="5" dxfId="2" operator="notBetween" stopIfTrue="1">
      <formula>$D$6/25</formula>
      <formula>"$D$6"</formula>
    </cfRule>
  </conditionalFormatting>
  <conditionalFormatting sqref="O9">
    <cfRule type="cellIs" priority="4" dxfId="2" operator="lessThan" stopIfTrue="1">
      <formula>$D$8*1.414</formula>
    </cfRule>
  </conditionalFormatting>
  <conditionalFormatting sqref="O10">
    <cfRule type="cellIs" priority="3" dxfId="2" operator="notBetween" stopIfTrue="1">
      <formula>50</formula>
      <formula>100</formula>
    </cfRule>
  </conditionalFormatting>
  <conditionalFormatting sqref="O17">
    <cfRule type="cellIs" priority="2" dxfId="2" operator="notBetween" stopIfTrue="1">
      <formula>30</formula>
      <formula>90</formula>
    </cfRule>
  </conditionalFormatting>
  <conditionalFormatting sqref="O16">
    <cfRule type="cellIs" priority="1" dxfId="2" operator="notBetween" stopIfTrue="1">
      <formula>$D$6/25</formula>
      <formula>"$D$6"</formula>
    </cfRule>
  </conditionalFormatting>
  <dataValidations count="2">
    <dataValidation type="list" allowBlank="1" showInputMessage="1" showErrorMessage="1" sqref="D19 N19:O19">
      <formula1>OPTN</formula1>
    </dataValidation>
    <dataValidation type="list" allowBlank="1" showInputMessage="1" showErrorMessage="1" sqref="D24">
      <formula1>$B$102:$B$117</formula1>
    </dataValidation>
  </dataValidation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AR195"/>
  <sheetViews>
    <sheetView tabSelected="1" zoomScalePageLayoutView="0" workbookViewId="0" topLeftCell="H1">
      <selection activeCell="S8" sqref="S8"/>
    </sheetView>
  </sheetViews>
  <sheetFormatPr defaultColWidth="9.140625" defaultRowHeight="12.75"/>
  <cols>
    <col min="1" max="1" width="4.140625" style="20" customWidth="1"/>
    <col min="2" max="2" width="16.28125" style="4" customWidth="1"/>
    <col min="3" max="3" width="9.140625" style="4" customWidth="1"/>
    <col min="4" max="4" width="16.57421875" style="4" customWidth="1"/>
    <col min="5" max="12" width="9.140625" style="20" customWidth="1"/>
    <col min="13" max="13" width="9.140625" style="1" customWidth="1"/>
    <col min="14" max="16" width="9.140625" style="20" customWidth="1"/>
    <col min="17" max="17" width="41.57421875" style="20" customWidth="1"/>
    <col min="18" max="19" width="9.140625" style="20" customWidth="1"/>
    <col min="20" max="20" width="17.140625" style="20" customWidth="1"/>
    <col min="21" max="21" width="19.8515625" style="20" customWidth="1"/>
    <col min="22" max="22" width="12.7109375" style="20" customWidth="1"/>
    <col min="23" max="23" width="16.28125" style="20" customWidth="1"/>
    <col min="24" max="24" width="17.7109375" style="20" customWidth="1"/>
    <col min="25" max="37" width="9.140625" style="20" customWidth="1"/>
    <col min="38" max="38" width="17.8515625" style="20" customWidth="1"/>
    <col min="39" max="39" width="17.57421875" style="20" customWidth="1"/>
    <col min="40" max="41" width="16.7109375" style="20" customWidth="1"/>
    <col min="42" max="42" width="17.8515625" style="20" customWidth="1"/>
    <col min="43" max="44" width="17.7109375" style="20" customWidth="1"/>
    <col min="45" max="16384" width="9.140625" style="20" customWidth="1"/>
  </cols>
  <sheetData>
    <row r="1" ht="15.75" customHeight="1" thickBot="1"/>
    <row r="2" spans="2:22" s="1" customFormat="1" ht="30.75" thickBot="1">
      <c r="B2" s="23"/>
      <c r="C2" s="24"/>
      <c r="D2" s="15" t="s">
        <v>75</v>
      </c>
      <c r="E2" s="25"/>
      <c r="F2" s="25"/>
      <c r="G2" s="25"/>
      <c r="H2" s="25"/>
      <c r="I2" s="25"/>
      <c r="J2" s="25"/>
      <c r="K2" s="25"/>
      <c r="L2" s="25"/>
      <c r="M2" s="26"/>
      <c r="N2" s="25"/>
      <c r="O2" s="25"/>
      <c r="P2" s="25"/>
      <c r="Q2" s="25"/>
      <c r="R2" s="25"/>
      <c r="S2" s="25"/>
      <c r="T2" s="25"/>
      <c r="U2" s="25"/>
      <c r="V2" s="27"/>
    </row>
    <row r="3" ht="8.25" customHeight="1"/>
    <row r="4" ht="8.25" customHeight="1"/>
    <row r="5" spans="2:22" ht="24" customHeight="1">
      <c r="B5" s="4" t="s">
        <v>0</v>
      </c>
      <c r="S5" s="28" t="s">
        <v>219</v>
      </c>
      <c r="T5" s="29"/>
      <c r="U5" s="29"/>
      <c r="V5" s="29"/>
    </row>
    <row r="6" spans="2:5" ht="27.75">
      <c r="B6" s="30" t="s">
        <v>78</v>
      </c>
      <c r="C6" s="31" t="s">
        <v>9</v>
      </c>
      <c r="D6" s="2">
        <v>50</v>
      </c>
      <c r="E6" s="32" t="s">
        <v>10</v>
      </c>
    </row>
    <row r="7" spans="2:13" ht="27.75">
      <c r="B7" s="30" t="s">
        <v>159</v>
      </c>
      <c r="C7" s="31" t="s">
        <v>3</v>
      </c>
      <c r="D7" s="2">
        <v>90</v>
      </c>
      <c r="E7" s="33" t="s">
        <v>143</v>
      </c>
      <c r="F7" s="34"/>
      <c r="G7" s="34"/>
      <c r="H7" s="34"/>
      <c r="I7" s="34"/>
      <c r="J7" s="34"/>
      <c r="K7" s="34"/>
      <c r="L7" s="34"/>
      <c r="M7" s="35"/>
    </row>
    <row r="8" spans="2:13" ht="27.75">
      <c r="B8" s="30" t="s">
        <v>160</v>
      </c>
      <c r="C8" s="31" t="s">
        <v>3</v>
      </c>
      <c r="D8" s="2">
        <v>265</v>
      </c>
      <c r="E8" s="33" t="s">
        <v>144</v>
      </c>
      <c r="F8" s="34"/>
      <c r="G8" s="34"/>
      <c r="H8" s="34"/>
      <c r="I8" s="34"/>
      <c r="J8" s="34"/>
      <c r="K8" s="34"/>
      <c r="L8" s="34"/>
      <c r="M8" s="35"/>
    </row>
    <row r="9" spans="2:21" ht="27.75">
      <c r="B9" s="30" t="s">
        <v>79</v>
      </c>
      <c r="C9" s="31" t="s">
        <v>3</v>
      </c>
      <c r="D9" s="2">
        <v>390</v>
      </c>
      <c r="E9" s="33" t="s">
        <v>145</v>
      </c>
      <c r="F9" s="34"/>
      <c r="G9" s="34"/>
      <c r="H9" s="34"/>
      <c r="I9" s="34"/>
      <c r="J9" s="34"/>
      <c r="K9" s="34"/>
      <c r="L9" s="34"/>
      <c r="M9" s="35"/>
      <c r="Q9" s="18" t="str">
        <f>IF(D9&lt;=1.414*D8,"Vout is too low!"," ")</f>
        <v> </v>
      </c>
      <c r="T9" s="36"/>
      <c r="U9" s="37" t="s">
        <v>190</v>
      </c>
    </row>
    <row r="10" spans="2:21" ht="27.75">
      <c r="B10" s="30" t="s">
        <v>1</v>
      </c>
      <c r="C10" s="31" t="s">
        <v>4</v>
      </c>
      <c r="D10" s="2">
        <v>95</v>
      </c>
      <c r="E10" s="33" t="s">
        <v>146</v>
      </c>
      <c r="F10" s="34"/>
      <c r="G10" s="34"/>
      <c r="H10" s="34"/>
      <c r="I10" s="34"/>
      <c r="J10" s="34"/>
      <c r="K10" s="34"/>
      <c r="L10" s="34"/>
      <c r="M10" s="35"/>
      <c r="Q10" s="19" t="str">
        <f>IF(D10&gt;=100,"Effiency must be lower than 100%!",IF(D10&lt;=50,"Effiency must be higher than 50%!"," "))</f>
        <v> </v>
      </c>
      <c r="T10" s="29"/>
      <c r="U10" s="37" t="s">
        <v>19</v>
      </c>
    </row>
    <row r="11" spans="2:21" ht="27.75">
      <c r="B11" s="30" t="s">
        <v>80</v>
      </c>
      <c r="C11" s="31" t="s">
        <v>5</v>
      </c>
      <c r="D11" s="2">
        <v>160</v>
      </c>
      <c r="E11" s="33" t="s">
        <v>2</v>
      </c>
      <c r="F11" s="34"/>
      <c r="G11" s="34"/>
      <c r="H11" s="34"/>
      <c r="I11" s="34"/>
      <c r="J11" s="34"/>
      <c r="K11" s="34"/>
      <c r="L11" s="34"/>
      <c r="M11" s="35"/>
      <c r="T11" s="8"/>
      <c r="U11" s="37" t="s">
        <v>165</v>
      </c>
    </row>
    <row r="12" spans="2:13" ht="27.75">
      <c r="B12" s="30" t="s">
        <v>81</v>
      </c>
      <c r="C12" s="31" t="s">
        <v>124</v>
      </c>
      <c r="D12" s="2">
        <v>0.25</v>
      </c>
      <c r="E12" s="33" t="s">
        <v>147</v>
      </c>
      <c r="F12" s="34"/>
      <c r="G12" s="34"/>
      <c r="H12" s="34"/>
      <c r="I12" s="34"/>
      <c r="J12" s="34"/>
      <c r="K12" s="34"/>
      <c r="L12" s="34"/>
      <c r="M12" s="35"/>
    </row>
    <row r="13" spans="2:17" ht="27.75">
      <c r="B13" s="30" t="s">
        <v>82</v>
      </c>
      <c r="C13" s="31" t="s">
        <v>8</v>
      </c>
      <c r="D13" s="2">
        <v>10</v>
      </c>
      <c r="E13" s="33" t="s">
        <v>20</v>
      </c>
      <c r="F13" s="34"/>
      <c r="G13" s="34"/>
      <c r="H13" s="34"/>
      <c r="I13" s="34"/>
      <c r="J13" s="34"/>
      <c r="K13" s="34"/>
      <c r="L13" s="34"/>
      <c r="M13" s="35"/>
      <c r="Q13" s="20" t="str">
        <f>IF(D14&lt;1.414*D7,"choose (Vout)min between 1.414*VacLL and Vout(nom)",IF(D14&gt;=D9,"choose (Vout)min between 1.414*VacLL and Vout(nom)"," "))</f>
        <v> </v>
      </c>
    </row>
    <row r="14" spans="2:17" ht="27.75">
      <c r="B14" s="30" t="s">
        <v>83</v>
      </c>
      <c r="C14" s="31" t="s">
        <v>3</v>
      </c>
      <c r="D14" s="2">
        <v>350</v>
      </c>
      <c r="E14" s="33" t="s">
        <v>21</v>
      </c>
      <c r="F14" s="34"/>
      <c r="G14" s="34"/>
      <c r="H14" s="34"/>
      <c r="I14" s="34"/>
      <c r="J14" s="34"/>
      <c r="K14" s="34"/>
      <c r="L14" s="34"/>
      <c r="M14" s="35"/>
      <c r="Q14" s="38" t="str">
        <f>IF(D14&lt;1.414*D7,"choose (Vout)min between 1.414*VacLL and Vout(nom)",IF(D14&gt;=D9,"choose (Vout)min between 1.414*VacLL and Vout(nom)"," "))</f>
        <v> </v>
      </c>
    </row>
    <row r="15" spans="2:13" ht="27.75">
      <c r="B15" s="30" t="s">
        <v>84</v>
      </c>
      <c r="C15" s="31" t="s">
        <v>3</v>
      </c>
      <c r="D15" s="2">
        <v>7</v>
      </c>
      <c r="E15" s="33" t="s">
        <v>148</v>
      </c>
      <c r="F15" s="34"/>
      <c r="G15" s="34"/>
      <c r="H15" s="34"/>
      <c r="I15" s="34"/>
      <c r="J15" s="34"/>
      <c r="K15" s="34"/>
      <c r="L15" s="34"/>
      <c r="M15" s="35"/>
    </row>
    <row r="16" spans="2:17" ht="27.75">
      <c r="B16" s="30" t="s">
        <v>85</v>
      </c>
      <c r="C16" s="31" t="s">
        <v>9</v>
      </c>
      <c r="D16" s="2">
        <v>10</v>
      </c>
      <c r="E16" s="33" t="s">
        <v>22</v>
      </c>
      <c r="F16" s="34"/>
      <c r="G16" s="34"/>
      <c r="H16" s="34"/>
      <c r="I16" s="34"/>
      <c r="J16" s="34"/>
      <c r="K16" s="34"/>
      <c r="L16" s="34"/>
      <c r="M16" s="35"/>
      <c r="Q16" s="38" t="str">
        <f>IF(D16&lt;D6/25,"the selected crossover frequency is very low!",IF(D16&gt;D6,"the selected crossover frequency is too high!"," "))</f>
        <v> </v>
      </c>
    </row>
    <row r="17" spans="2:17" ht="28.5">
      <c r="B17" s="39" t="s">
        <v>86</v>
      </c>
      <c r="C17" s="31" t="s">
        <v>14</v>
      </c>
      <c r="D17" s="2">
        <v>60</v>
      </c>
      <c r="E17" s="33" t="s">
        <v>149</v>
      </c>
      <c r="F17" s="34"/>
      <c r="G17" s="34"/>
      <c r="H17" s="34"/>
      <c r="I17" s="34"/>
      <c r="J17" s="34"/>
      <c r="K17" s="34"/>
      <c r="L17" s="34"/>
      <c r="M17" s="35"/>
      <c r="Q17" s="38" t="str">
        <f>IF(D17&lt;30,"the chosen phase margin is very low!",IF(D17&gt;90,"the chosen phase margin is too high!"," "))</f>
        <v> </v>
      </c>
    </row>
    <row r="18" spans="2:13" ht="27.75">
      <c r="B18" s="30"/>
      <c r="C18" s="31"/>
      <c r="D18" s="31"/>
      <c r="E18" s="33"/>
      <c r="F18" s="34"/>
      <c r="G18" s="34"/>
      <c r="H18" s="34"/>
      <c r="I18" s="34"/>
      <c r="J18" s="34"/>
      <c r="K18" s="34"/>
      <c r="L18" s="34"/>
      <c r="M18" s="35"/>
    </row>
    <row r="19" spans="2:5" ht="27.75">
      <c r="B19" s="30" t="s">
        <v>38</v>
      </c>
      <c r="C19" s="31" t="s">
        <v>25</v>
      </c>
      <c r="D19" s="3" t="s">
        <v>39</v>
      </c>
      <c r="E19" s="40" t="s">
        <v>187</v>
      </c>
    </row>
    <row r="20" spans="2:13" ht="27.75">
      <c r="B20" s="30" t="s">
        <v>87</v>
      </c>
      <c r="C20" s="31" t="s">
        <v>125</v>
      </c>
      <c r="D20" s="13">
        <f>0.8*VLOOKUP(D19,T54:X62,4)</f>
        <v>10</v>
      </c>
      <c r="E20" s="33" t="s">
        <v>166</v>
      </c>
      <c r="F20" s="34"/>
      <c r="G20" s="34"/>
      <c r="H20" s="34"/>
      <c r="I20" s="34"/>
      <c r="J20" s="34"/>
      <c r="K20" s="34"/>
      <c r="L20" s="34"/>
      <c r="M20" s="35"/>
    </row>
    <row r="21" spans="2:13" ht="27.75">
      <c r="B21" s="30"/>
      <c r="C21" s="31"/>
      <c r="D21" s="5"/>
      <c r="E21" s="33"/>
      <c r="F21" s="34"/>
      <c r="G21" s="34"/>
      <c r="H21" s="34"/>
      <c r="I21" s="34"/>
      <c r="J21" s="34"/>
      <c r="K21" s="34"/>
      <c r="L21" s="34"/>
      <c r="M21" s="35"/>
    </row>
    <row r="22" spans="2:5" ht="27.75">
      <c r="B22" s="41" t="s">
        <v>23</v>
      </c>
      <c r="E22" s="40"/>
    </row>
    <row r="23" spans="2:5" ht="27.75">
      <c r="B23" s="30" t="s">
        <v>88</v>
      </c>
      <c r="C23" s="31" t="s">
        <v>126</v>
      </c>
      <c r="D23" s="11">
        <f>MAX((D11/D15/6.28/D6/D9/D9)*100000000,(2*D11*D13*0.001/(D9*D9-D14*D14))*1000000)</f>
        <v>108.10810810810813</v>
      </c>
      <c r="E23" s="33" t="s">
        <v>26</v>
      </c>
    </row>
    <row r="24" spans="2:17" ht="27.75">
      <c r="B24" s="30" t="s">
        <v>89</v>
      </c>
      <c r="C24" s="31" t="s">
        <v>126</v>
      </c>
      <c r="D24" s="2">
        <v>120</v>
      </c>
      <c r="E24" s="33" t="s">
        <v>141</v>
      </c>
      <c r="Q24" s="38" t="str">
        <f>IF(D24&lt;D23,"Select a higher value for the bulk capacitor"," ")</f>
        <v> </v>
      </c>
    </row>
    <row r="25" spans="2:5" ht="27.75">
      <c r="B25" s="30" t="s">
        <v>142</v>
      </c>
      <c r="C25" s="31" t="s">
        <v>6</v>
      </c>
      <c r="D25" s="10">
        <f>SQRT((1.265*100*D11/D10/SQRT(D7*D9))^2-(D11/D9)^2)</f>
        <v>1.0606095585820556</v>
      </c>
      <c r="E25" s="33" t="s">
        <v>185</v>
      </c>
    </row>
    <row r="26" spans="2:28" ht="27.75">
      <c r="B26" s="30" t="s">
        <v>90</v>
      </c>
      <c r="C26" s="31" t="s">
        <v>127</v>
      </c>
      <c r="D26" s="11">
        <f>((D7*D7/2/D11)*D20*0.000001*D10/100)*1000000</f>
        <v>240.46875</v>
      </c>
      <c r="E26" s="33" t="s">
        <v>29</v>
      </c>
      <c r="T26" s="42" t="s">
        <v>30</v>
      </c>
      <c r="U26" s="29"/>
      <c r="V26" s="29"/>
      <c r="W26" s="29"/>
      <c r="X26" s="29"/>
      <c r="Y26" s="29"/>
      <c r="Z26" s="29"/>
      <c r="AA26" s="29"/>
      <c r="AB26" s="29"/>
    </row>
    <row r="27" spans="2:28" ht="27.75">
      <c r="B27" s="30" t="s">
        <v>24</v>
      </c>
      <c r="C27" s="31" t="s">
        <v>127</v>
      </c>
      <c r="D27" s="2">
        <v>180</v>
      </c>
      <c r="E27" s="33" t="s">
        <v>150</v>
      </c>
      <c r="Q27" s="38" t="str">
        <f>IF(D27&gt;D26*0.75,"Select a lower inductor value"," ")</f>
        <v> </v>
      </c>
      <c r="T27" s="42" t="s">
        <v>31</v>
      </c>
      <c r="U27" s="42"/>
      <c r="V27" s="42"/>
      <c r="W27" s="29"/>
      <c r="X27" s="29"/>
      <c r="Y27" s="29"/>
      <c r="Z27" s="29"/>
      <c r="AA27" s="29"/>
      <c r="AB27" s="29"/>
    </row>
    <row r="28" spans="2:44" ht="33.75">
      <c r="B28" s="30" t="s">
        <v>91</v>
      </c>
      <c r="C28" s="31" t="s">
        <v>6</v>
      </c>
      <c r="D28" s="9">
        <f>2*1.414*(D11*100/D10)/D7</f>
        <v>5.292163742690059</v>
      </c>
      <c r="E28" s="33" t="s">
        <v>27</v>
      </c>
      <c r="T28" s="42" t="s">
        <v>32</v>
      </c>
      <c r="U28" s="42"/>
      <c r="V28" s="29"/>
      <c r="W28" s="29"/>
      <c r="X28" s="29"/>
      <c r="Y28" s="29"/>
      <c r="Z28" s="29"/>
      <c r="AA28" s="29"/>
      <c r="AB28" s="29"/>
      <c r="AL28" s="69"/>
      <c r="AM28" s="70" t="s">
        <v>174</v>
      </c>
      <c r="AN28" s="69"/>
      <c r="AO28" s="69"/>
      <c r="AP28" s="69"/>
      <c r="AQ28" s="69"/>
      <c r="AR28" s="69"/>
    </row>
    <row r="29" spans="2:44" ht="27.75">
      <c r="B29" s="30" t="s">
        <v>92</v>
      </c>
      <c r="C29" s="31" t="s">
        <v>6</v>
      </c>
      <c r="D29" s="9">
        <f>D28/SQRT(6)</f>
        <v>2.1605168008080557</v>
      </c>
      <c r="E29" s="33" t="s">
        <v>28</v>
      </c>
      <c r="AL29" s="69"/>
      <c r="AM29" s="69"/>
      <c r="AN29" s="69"/>
      <c r="AO29" s="69"/>
      <c r="AP29" s="69"/>
      <c r="AQ29" s="69"/>
      <c r="AR29" s="69"/>
    </row>
    <row r="30" spans="2:44" ht="27.75">
      <c r="B30" s="30" t="s">
        <v>93</v>
      </c>
      <c r="C30" s="31" t="s">
        <v>11</v>
      </c>
      <c r="D30" s="14">
        <f>((D9-D7*1.414)/D9)*D7*D7*D10/100/2/D11/(D27*0.000001)*0.001</f>
        <v>90.00108173076923</v>
      </c>
      <c r="E30" s="33" t="s">
        <v>16</v>
      </c>
      <c r="Q30" s="38" t="str">
        <f>IF(OR(D31&lt;8,D31&gt;12),"Choose a Turn Ratio closer to the value 10"," ")</f>
        <v> </v>
      </c>
      <c r="AL30" s="71"/>
      <c r="AM30" s="80" t="s">
        <v>168</v>
      </c>
      <c r="AN30" s="81"/>
      <c r="AO30" s="80" t="s">
        <v>169</v>
      </c>
      <c r="AP30" s="81"/>
      <c r="AQ30" s="80" t="s">
        <v>170</v>
      </c>
      <c r="AR30" s="81"/>
    </row>
    <row r="31" spans="2:44" ht="27.75">
      <c r="B31" s="30" t="s">
        <v>94</v>
      </c>
      <c r="C31" s="31" t="s">
        <v>25</v>
      </c>
      <c r="D31" s="2">
        <v>10</v>
      </c>
      <c r="E31" s="33" t="s">
        <v>194</v>
      </c>
      <c r="AL31" s="71" t="s">
        <v>167</v>
      </c>
      <c r="AM31" s="72" t="s">
        <v>171</v>
      </c>
      <c r="AN31" s="72" t="s">
        <v>172</v>
      </c>
      <c r="AO31" s="72" t="s">
        <v>175</v>
      </c>
      <c r="AP31" s="72" t="s">
        <v>176</v>
      </c>
      <c r="AQ31" s="72" t="s">
        <v>177</v>
      </c>
      <c r="AR31" s="72" t="s">
        <v>178</v>
      </c>
    </row>
    <row r="32" spans="2:44" ht="27.75">
      <c r="B32" s="44"/>
      <c r="S32" s="55"/>
      <c r="T32" s="29"/>
      <c r="U32" s="29"/>
      <c r="V32" s="29"/>
      <c r="W32" s="29"/>
      <c r="X32" s="45" t="s">
        <v>76</v>
      </c>
      <c r="Y32" s="29"/>
      <c r="Z32" s="29"/>
      <c r="AA32" s="29"/>
      <c r="AB32" s="29"/>
      <c r="AC32" s="29"/>
      <c r="AD32" s="29"/>
      <c r="AE32" s="29"/>
      <c r="AF32" s="29"/>
      <c r="AG32" s="29"/>
      <c r="AH32" s="29"/>
      <c r="AI32" s="29"/>
      <c r="AJ32" s="29"/>
      <c r="AL32" s="73">
        <v>0.001</v>
      </c>
      <c r="AM32" s="74">
        <f>20*LOG10(D$62/SQRT(1+(AL32/D$58)^2))</f>
        <v>44.679542726023385</v>
      </c>
      <c r="AN32" s="75">
        <f>-(180/3.14)*ATAN(AL32/D$58)</f>
        <v>-0.020533499121823225</v>
      </c>
      <c r="AO32" s="74">
        <f>-20*LOG10(AL32/D$59)+20*LOG10(SQRT(1+(AL32/D$60)^2))-20*LOG10(SQRT(1+(AL32/D$61)^2))</f>
        <v>35.16991571333513</v>
      </c>
      <c r="AP32" s="74">
        <f>-90+(180/3.14)*ATAN(AL32/D$60)-(180/3.14)*ATAN(AL32/D$61)+180</f>
        <v>90.01820224617275</v>
      </c>
      <c r="AQ32" s="74">
        <f>AM32+AO32</f>
        <v>79.84945843935851</v>
      </c>
      <c r="AR32" s="75">
        <f>AN32+AP32</f>
        <v>89.99766874705092</v>
      </c>
    </row>
    <row r="33" spans="2:44" ht="27.75">
      <c r="B33" s="41" t="s">
        <v>33</v>
      </c>
      <c r="S33" s="55"/>
      <c r="T33" s="29"/>
      <c r="U33" s="29"/>
      <c r="V33" s="29"/>
      <c r="W33" s="29"/>
      <c r="X33" s="29"/>
      <c r="Y33" s="29"/>
      <c r="Z33" s="29"/>
      <c r="AA33" s="29"/>
      <c r="AB33" s="29"/>
      <c r="AC33" s="29"/>
      <c r="AD33" s="29"/>
      <c r="AE33" s="29"/>
      <c r="AF33" s="29"/>
      <c r="AG33" s="29"/>
      <c r="AH33" s="29"/>
      <c r="AI33" s="29"/>
      <c r="AJ33" s="29"/>
      <c r="AL33" s="73">
        <v>0.0011220184543019622</v>
      </c>
      <c r="AM33" s="74">
        <f aca="true" t="shared" si="0" ref="AM33:AM99">20*LOG10(D$62/SQRT(1+(AL33/D$58)^2))</f>
        <v>44.67954258174571</v>
      </c>
      <c r="AN33" s="75">
        <f aca="true" t="shared" si="1" ref="AN33:AN99">-(180/3.14)*ATAN(AL33/D$58)</f>
        <v>-0.0230389646909517</v>
      </c>
      <c r="AO33" s="74">
        <f aca="true" t="shared" si="2" ref="AO33:AO99">-20*LOG10(AL33/D$59)+20*LOG10(SQRT(1+(AL33/D$60)^2))-20*LOG10(SQRT(1+(AL33/D$61)^2))</f>
        <v>34.16991586903892</v>
      </c>
      <c r="AP33" s="74">
        <f aca="true" t="shared" si="3" ref="AP33:AP99">-90+(180/3.14)*ATAN(AL33/D$60)-(180/3.14)*ATAN(AL33/D$61)+180</f>
        <v>90.02042325581975</v>
      </c>
      <c r="AQ33" s="74">
        <f aca="true" t="shared" si="4" ref="AQ33:AR99">AM33+AO33</f>
        <v>78.84945845078462</v>
      </c>
      <c r="AR33" s="75">
        <f t="shared" si="4"/>
        <v>89.9973842911288</v>
      </c>
    </row>
    <row r="34" spans="2:44" ht="27.75">
      <c r="B34" s="30" t="s">
        <v>95</v>
      </c>
      <c r="C34" s="31" t="s">
        <v>128</v>
      </c>
      <c r="D34" s="2">
        <v>27</v>
      </c>
      <c r="E34" s="33" t="s">
        <v>195</v>
      </c>
      <c r="Q34" s="38" t="str">
        <f>IF(D34&gt;50,"Choose a Lower Rfb2 value"," ")</f>
        <v> </v>
      </c>
      <c r="S34" s="55"/>
      <c r="T34" s="29"/>
      <c r="U34" s="29"/>
      <c r="V34" s="29"/>
      <c r="W34" s="29"/>
      <c r="X34" s="29"/>
      <c r="Y34" s="29"/>
      <c r="Z34" s="29"/>
      <c r="AA34" s="29"/>
      <c r="AB34" s="29"/>
      <c r="AC34" s="29"/>
      <c r="AD34" s="29"/>
      <c r="AE34" s="29"/>
      <c r="AF34" s="29"/>
      <c r="AG34" s="29"/>
      <c r="AH34" s="29"/>
      <c r="AI34" s="29"/>
      <c r="AJ34" s="29"/>
      <c r="AL34" s="73">
        <v>0.001258925411794165</v>
      </c>
      <c r="AM34" s="74">
        <f t="shared" si="0"/>
        <v>44.67954240011086</v>
      </c>
      <c r="AN34" s="75">
        <f t="shared" si="1"/>
        <v>-0.025850143190882545</v>
      </c>
      <c r="AO34" s="74">
        <f t="shared" si="2"/>
        <v>33.16991606505838</v>
      </c>
      <c r="AP34" s="74">
        <f t="shared" si="3"/>
        <v>90.02291526950881</v>
      </c>
      <c r="AQ34" s="74">
        <f t="shared" si="4"/>
        <v>77.84945846516925</v>
      </c>
      <c r="AR34" s="75">
        <f t="shared" si="4"/>
        <v>89.99706512631793</v>
      </c>
    </row>
    <row r="35" spans="2:44" ht="27.75">
      <c r="B35" s="30" t="s">
        <v>96</v>
      </c>
      <c r="C35" s="31" t="s">
        <v>128</v>
      </c>
      <c r="D35" s="13">
        <f>(D34/2.5)*(D9-2.5)</f>
        <v>4185</v>
      </c>
      <c r="E35" s="40" t="s">
        <v>152</v>
      </c>
      <c r="S35" s="55"/>
      <c r="T35" s="29"/>
      <c r="U35" s="29"/>
      <c r="V35" s="29"/>
      <c r="W35" s="29"/>
      <c r="X35" s="29"/>
      <c r="Y35" s="29"/>
      <c r="Z35" s="29"/>
      <c r="AA35" s="29"/>
      <c r="AB35" s="29"/>
      <c r="AC35" s="29"/>
      <c r="AD35" s="29"/>
      <c r="AE35" s="29"/>
      <c r="AF35" s="29"/>
      <c r="AG35" s="29"/>
      <c r="AH35" s="29"/>
      <c r="AI35" s="29"/>
      <c r="AJ35" s="29"/>
      <c r="AL35" s="73">
        <v>0.0014125375446227514</v>
      </c>
      <c r="AM35" s="74">
        <f t="shared" si="0"/>
        <v>44.67954217144616</v>
      </c>
      <c r="AN35" s="75">
        <f t="shared" si="1"/>
        <v>-0.02900433719747303</v>
      </c>
      <c r="AO35" s="74">
        <f t="shared" si="2"/>
        <v>32.16991631183223</v>
      </c>
      <c r="AP35" s="74">
        <f t="shared" si="3"/>
        <v>90.02571135468395</v>
      </c>
      <c r="AQ35" s="74">
        <f t="shared" si="4"/>
        <v>76.8494584832784</v>
      </c>
      <c r="AR35" s="75">
        <f t="shared" si="4"/>
        <v>89.99670701748647</v>
      </c>
    </row>
    <row r="36" spans="2:44" ht="27.75">
      <c r="B36" s="30" t="s">
        <v>97</v>
      </c>
      <c r="C36" s="31" t="s">
        <v>128</v>
      </c>
      <c r="D36" s="2">
        <v>4280</v>
      </c>
      <c r="E36" s="40" t="s">
        <v>153</v>
      </c>
      <c r="S36" s="55"/>
      <c r="T36" s="29"/>
      <c r="U36" s="29"/>
      <c r="V36" s="29"/>
      <c r="W36" s="29"/>
      <c r="X36" s="29"/>
      <c r="Y36" s="29"/>
      <c r="Z36" s="29"/>
      <c r="AA36" s="29"/>
      <c r="AB36" s="29"/>
      <c r="AC36" s="29"/>
      <c r="AD36" s="29"/>
      <c r="AE36" s="29"/>
      <c r="AF36" s="29"/>
      <c r="AG36" s="29"/>
      <c r="AH36" s="29"/>
      <c r="AI36" s="29"/>
      <c r="AJ36" s="29"/>
      <c r="AL36" s="73">
        <v>0.0015848931924611095</v>
      </c>
      <c r="AM36" s="74">
        <f t="shared" si="0"/>
        <v>44.67954188357436</v>
      </c>
      <c r="AN36" s="75">
        <f t="shared" si="1"/>
        <v>-0.0325434008713159</v>
      </c>
      <c r="AO36" s="74">
        <f t="shared" si="2"/>
        <v>31.169916622502083</v>
      </c>
      <c r="AP36" s="74">
        <f t="shared" si="3"/>
        <v>90.02884861360675</v>
      </c>
      <c r="AQ36" s="74">
        <f t="shared" si="4"/>
        <v>75.84945850607645</v>
      </c>
      <c r="AR36" s="75">
        <f t="shared" si="4"/>
        <v>89.99630521273544</v>
      </c>
    </row>
    <row r="37" spans="2:44" ht="27.75">
      <c r="B37" s="30"/>
      <c r="C37" s="31"/>
      <c r="D37" s="5"/>
      <c r="E37" s="40"/>
      <c r="S37" s="55"/>
      <c r="T37" s="29"/>
      <c r="U37" s="29"/>
      <c r="V37" s="29"/>
      <c r="W37" s="29"/>
      <c r="X37" s="29"/>
      <c r="Y37" s="29"/>
      <c r="Z37" s="29"/>
      <c r="AA37" s="29"/>
      <c r="AB37" s="29"/>
      <c r="AC37" s="29"/>
      <c r="AD37" s="29"/>
      <c r="AE37" s="29"/>
      <c r="AF37" s="29"/>
      <c r="AG37" s="29"/>
      <c r="AH37" s="29"/>
      <c r="AI37" s="29"/>
      <c r="AJ37" s="29"/>
      <c r="AL37" s="73">
        <v>0.0017782794100389175</v>
      </c>
      <c r="AM37" s="74">
        <f t="shared" si="0"/>
        <v>44.67954152116527</v>
      </c>
      <c r="AN37" s="75">
        <f t="shared" si="1"/>
        <v>-0.036514295327684035</v>
      </c>
      <c r="AO37" s="74">
        <f t="shared" si="2"/>
        <v>30.16991701361222</v>
      </c>
      <c r="AP37" s="74">
        <f t="shared" si="3"/>
        <v>90.0323686756701</v>
      </c>
      <c r="AQ37" s="74">
        <f t="shared" si="4"/>
        <v>74.84945853477748</v>
      </c>
      <c r="AR37" s="75">
        <f t="shared" si="4"/>
        <v>89.99585438034242</v>
      </c>
    </row>
    <row r="38" spans="2:44" ht="27.75">
      <c r="B38" s="41" t="s">
        <v>130</v>
      </c>
      <c r="S38" s="55"/>
      <c r="T38" s="29"/>
      <c r="U38" s="29"/>
      <c r="V38" s="29"/>
      <c r="W38" s="29"/>
      <c r="X38" s="29"/>
      <c r="Y38" s="29"/>
      <c r="Z38" s="29"/>
      <c r="AA38" s="29"/>
      <c r="AB38" s="29"/>
      <c r="AC38" s="29"/>
      <c r="AD38" s="29"/>
      <c r="AE38" s="29"/>
      <c r="AF38" s="29"/>
      <c r="AG38" s="29"/>
      <c r="AH38" s="29"/>
      <c r="AI38" s="29"/>
      <c r="AJ38" s="29"/>
      <c r="AL38" s="73">
        <v>0.0019952623149688746</v>
      </c>
      <c r="AM38" s="74">
        <f t="shared" si="0"/>
        <v>44.679541064919306</v>
      </c>
      <c r="AN38" s="75">
        <f t="shared" si="1"/>
        <v>-0.04096971176880893</v>
      </c>
      <c r="AO38" s="74">
        <f t="shared" si="2"/>
        <v>29.169917505990654</v>
      </c>
      <c r="AP38" s="74">
        <f t="shared" si="3"/>
        <v>90.03631824977961</v>
      </c>
      <c r="AQ38" s="74">
        <f t="shared" si="4"/>
        <v>73.84945857090996</v>
      </c>
      <c r="AR38" s="75">
        <f t="shared" si="4"/>
        <v>89.9953485380108</v>
      </c>
    </row>
    <row r="39" spans="2:44" ht="27.75">
      <c r="B39" s="30" t="s">
        <v>98</v>
      </c>
      <c r="C39" s="31" t="s">
        <v>128</v>
      </c>
      <c r="D39" s="2">
        <v>22</v>
      </c>
      <c r="E39" s="33" t="s">
        <v>196</v>
      </c>
      <c r="Q39" s="38" t="str">
        <f>IF(D39&lt;20,"Select a higher Rcs2 value"," ")</f>
        <v> </v>
      </c>
      <c r="S39" s="55"/>
      <c r="T39" s="29"/>
      <c r="U39" s="29"/>
      <c r="V39" s="29"/>
      <c r="W39" s="29"/>
      <c r="X39" s="29"/>
      <c r="Y39" s="29"/>
      <c r="Z39" s="29"/>
      <c r="AA39" s="29"/>
      <c r="AB39" s="29"/>
      <c r="AC39" s="29"/>
      <c r="AD39" s="29"/>
      <c r="AE39" s="29"/>
      <c r="AF39" s="29"/>
      <c r="AG39" s="29"/>
      <c r="AH39" s="29"/>
      <c r="AI39" s="29"/>
      <c r="AJ39" s="29"/>
      <c r="AL39" s="73">
        <v>0.0022387211385683325</v>
      </c>
      <c r="AM39" s="74">
        <f t="shared" si="0"/>
        <v>44.67954049053973</v>
      </c>
      <c r="AN39" s="75">
        <f t="shared" si="1"/>
        <v>-0.04596877064549045</v>
      </c>
      <c r="AO39" s="74">
        <f t="shared" si="2"/>
        <v>28.1699181258583</v>
      </c>
      <c r="AP39" s="74">
        <f t="shared" si="3"/>
        <v>90.04074974413086</v>
      </c>
      <c r="AQ39" s="74">
        <f t="shared" si="4"/>
        <v>72.84945861639802</v>
      </c>
      <c r="AR39" s="75">
        <f t="shared" si="4"/>
        <v>89.99478097348538</v>
      </c>
    </row>
    <row r="40" spans="2:44" ht="27.75">
      <c r="B40" s="30" t="s">
        <v>99</v>
      </c>
      <c r="C40" s="31" t="s">
        <v>128</v>
      </c>
      <c r="D40" s="13">
        <f>D39*((138/D31)-1)</f>
        <v>281.6</v>
      </c>
      <c r="E40" s="40" t="s">
        <v>34</v>
      </c>
      <c r="S40" s="55"/>
      <c r="T40" s="29"/>
      <c r="U40" s="29"/>
      <c r="V40" s="29"/>
      <c r="W40" s="29"/>
      <c r="X40" s="29"/>
      <c r="Y40" s="29"/>
      <c r="Z40" s="29"/>
      <c r="AA40" s="29"/>
      <c r="AB40" s="29"/>
      <c r="AC40" s="29"/>
      <c r="AD40" s="29"/>
      <c r="AE40" s="29"/>
      <c r="AF40" s="29"/>
      <c r="AG40" s="29"/>
      <c r="AH40" s="29"/>
      <c r="AI40" s="29"/>
      <c r="AJ40" s="29"/>
      <c r="AL40" s="73">
        <v>0.002511886431509571</v>
      </c>
      <c r="AM40" s="74">
        <f t="shared" si="0"/>
        <v>44.6795397674388</v>
      </c>
      <c r="AN40" s="75">
        <f t="shared" si="1"/>
        <v>-0.05157780612324359</v>
      </c>
      <c r="AO40" s="74">
        <f t="shared" si="2"/>
        <v>27.169918906225295</v>
      </c>
      <c r="AP40" s="74">
        <f t="shared" si="3"/>
        <v>90.04572196160369</v>
      </c>
      <c r="AQ40" s="74">
        <f t="shared" si="4"/>
        <v>71.84945867366409</v>
      </c>
      <c r="AR40" s="75">
        <f t="shared" si="4"/>
        <v>89.99414415548044</v>
      </c>
    </row>
    <row r="41" spans="2:44" ht="27.75">
      <c r="B41" s="30" t="s">
        <v>100</v>
      </c>
      <c r="C41" s="31" t="s">
        <v>128</v>
      </c>
      <c r="D41" s="2">
        <v>300</v>
      </c>
      <c r="E41" s="40" t="s">
        <v>35</v>
      </c>
      <c r="Q41" s="38" t="str">
        <f>IF(D41&gt;5600,"take care of PCB capacitor parasitics ..."," ")</f>
        <v> </v>
      </c>
      <c r="S41" s="55"/>
      <c r="T41" s="29"/>
      <c r="U41" s="29"/>
      <c r="V41" s="29"/>
      <c r="W41" s="29"/>
      <c r="X41" s="29"/>
      <c r="Y41" s="29"/>
      <c r="Z41" s="29"/>
      <c r="AA41" s="29"/>
      <c r="AB41" s="29"/>
      <c r="AC41" s="29"/>
      <c r="AD41" s="29"/>
      <c r="AE41" s="29"/>
      <c r="AF41" s="29"/>
      <c r="AG41" s="29"/>
      <c r="AH41" s="29"/>
      <c r="AI41" s="29"/>
      <c r="AJ41" s="29"/>
      <c r="AL41" s="73">
        <v>0.002818382931264442</v>
      </c>
      <c r="AM41" s="74">
        <f t="shared" si="0"/>
        <v>44.67953885710883</v>
      </c>
      <c r="AN41" s="75">
        <f t="shared" si="1"/>
        <v>-0.057871246259199906</v>
      </c>
      <c r="AO41" s="74">
        <f t="shared" si="2"/>
        <v>26.169919888648934</v>
      </c>
      <c r="AP41" s="74">
        <f t="shared" si="3"/>
        <v>90.05130087999771</v>
      </c>
      <c r="AQ41" s="74">
        <f t="shared" si="4"/>
        <v>70.84945874575777</v>
      </c>
      <c r="AR41" s="75">
        <f t="shared" si="4"/>
        <v>89.99342963373851</v>
      </c>
    </row>
    <row r="42" spans="2:44" ht="27.75">
      <c r="B42" s="30" t="s">
        <v>101</v>
      </c>
      <c r="C42" s="31" t="s">
        <v>25</v>
      </c>
      <c r="D42" s="9">
        <f>((D39+D41)/D39)*D31</f>
        <v>146.36363636363637</v>
      </c>
      <c r="E42" s="40" t="s">
        <v>197</v>
      </c>
      <c r="Q42" s="38" t="str">
        <f>IF(OR(D42&lt;138*0.9,D42&gt;138*1.1),"Get Rcs1 closer to Rcs1,calc"," ")</f>
        <v> </v>
      </c>
      <c r="S42" s="55"/>
      <c r="T42" s="29"/>
      <c r="U42" s="29"/>
      <c r="V42" s="29"/>
      <c r="W42" s="29"/>
      <c r="X42" s="29"/>
      <c r="Y42" s="29"/>
      <c r="Z42" s="29"/>
      <c r="AA42" s="29"/>
      <c r="AB42" s="29"/>
      <c r="AC42" s="29"/>
      <c r="AD42" s="29"/>
      <c r="AE42" s="29"/>
      <c r="AF42" s="29"/>
      <c r="AG42" s="29"/>
      <c r="AH42" s="29"/>
      <c r="AI42" s="29"/>
      <c r="AJ42" s="29"/>
      <c r="AL42" s="73">
        <v>0.0031622776601683646</v>
      </c>
      <c r="AM42" s="74">
        <f t="shared" si="0"/>
        <v>44.679537711071575</v>
      </c>
      <c r="AN42" s="75">
        <f t="shared" si="1"/>
        <v>-0.06493260056469849</v>
      </c>
      <c r="AO42" s="74">
        <f t="shared" si="2"/>
        <v>25.169921125446677</v>
      </c>
      <c r="AP42" s="74">
        <f t="shared" si="3"/>
        <v>90.05756052745669</v>
      </c>
      <c r="AQ42" s="74">
        <f t="shared" si="4"/>
        <v>69.84945883651825</v>
      </c>
      <c r="AR42" s="75">
        <f t="shared" si="4"/>
        <v>89.99262792689198</v>
      </c>
    </row>
    <row r="43" spans="2:44" ht="30" customHeight="1">
      <c r="B43" s="30" t="s">
        <v>102</v>
      </c>
      <c r="C43" s="31" t="s">
        <v>18</v>
      </c>
      <c r="D43" s="2">
        <v>10</v>
      </c>
      <c r="E43" s="40" t="s">
        <v>155</v>
      </c>
      <c r="Q43" s="47" t="str">
        <f>IF(D43&lt;&gt;10,"You have added an additional external Ccs cap which is not recommended"," ")</f>
        <v> </v>
      </c>
      <c r="S43" s="55"/>
      <c r="T43" s="29"/>
      <c r="U43" s="29"/>
      <c r="V43" s="29"/>
      <c r="W43" s="29"/>
      <c r="X43" s="29"/>
      <c r="Y43" s="29"/>
      <c r="Z43" s="29"/>
      <c r="AA43" s="29"/>
      <c r="AB43" s="29"/>
      <c r="AC43" s="29"/>
      <c r="AD43" s="29"/>
      <c r="AE43" s="29"/>
      <c r="AF43" s="29"/>
      <c r="AG43" s="29"/>
      <c r="AH43" s="29"/>
      <c r="AI43" s="29"/>
      <c r="AJ43" s="29"/>
      <c r="AL43" s="73">
        <v>0.0035481338923357367</v>
      </c>
      <c r="AM43" s="74">
        <f t="shared" si="0"/>
        <v>44.67953626829657</v>
      </c>
      <c r="AN43" s="75">
        <f t="shared" si="1"/>
        <v>-0.07285556805159536</v>
      </c>
      <c r="AO43" s="74">
        <f t="shared" si="2"/>
        <v>24.16992268248226</v>
      </c>
      <c r="AP43" s="74">
        <f t="shared" si="3"/>
        <v>90.06458396469095</v>
      </c>
      <c r="AQ43" s="74">
        <f t="shared" si="4"/>
        <v>68.84945895077882</v>
      </c>
      <c r="AR43" s="75">
        <f t="shared" si="4"/>
        <v>89.99172839663936</v>
      </c>
    </row>
    <row r="44" spans="2:44" ht="27.75">
      <c r="B44" s="30" t="s">
        <v>103</v>
      </c>
      <c r="C44" s="31" t="s">
        <v>128</v>
      </c>
      <c r="D44" s="9">
        <f>50-(D39*D41/(D39+D41))</f>
        <v>29.503105590062113</v>
      </c>
      <c r="E44" s="40" t="s">
        <v>36</v>
      </c>
      <c r="S44" s="55"/>
      <c r="T44" s="29"/>
      <c r="U44" s="29"/>
      <c r="V44" s="29"/>
      <c r="W44" s="29"/>
      <c r="X44" s="29"/>
      <c r="Y44" s="29"/>
      <c r="Z44" s="29"/>
      <c r="AA44" s="29"/>
      <c r="AB44" s="29"/>
      <c r="AC44" s="29"/>
      <c r="AD44" s="29"/>
      <c r="AE44" s="29"/>
      <c r="AF44" s="29"/>
      <c r="AG44" s="29"/>
      <c r="AH44" s="29"/>
      <c r="AI44" s="29"/>
      <c r="AJ44" s="29"/>
      <c r="AL44" s="73">
        <v>0.003981071705534951</v>
      </c>
      <c r="AM44" s="74">
        <f t="shared" si="0"/>
        <v>44.67953445195114</v>
      </c>
      <c r="AN44" s="75">
        <f t="shared" si="1"/>
        <v>-0.08174528045645688</v>
      </c>
      <c r="AO44" s="74">
        <f t="shared" si="2"/>
        <v>23.169924642673088</v>
      </c>
      <c r="AP44" s="74">
        <f t="shared" si="3"/>
        <v>90.07246438702124</v>
      </c>
      <c r="AQ44" s="74">
        <f t="shared" si="4"/>
        <v>67.84945909462422</v>
      </c>
      <c r="AR44" s="75">
        <f t="shared" si="4"/>
        <v>89.99071910656478</v>
      </c>
    </row>
    <row r="45" spans="2:44" ht="27.75">
      <c r="B45" s="30" t="s">
        <v>104</v>
      </c>
      <c r="C45" s="31" t="s">
        <v>128</v>
      </c>
      <c r="D45" s="2">
        <v>27</v>
      </c>
      <c r="E45" s="40" t="s">
        <v>199</v>
      </c>
      <c r="Q45" s="38" t="str">
        <f>IF(OR(D45&lt;0.85*$D$44,D45&gt;1.15*$D$44),"Choose Rcs0 closer to Rcs0,calc"," ")</f>
        <v> </v>
      </c>
      <c r="S45" s="55"/>
      <c r="T45" s="29"/>
      <c r="U45" s="29"/>
      <c r="V45" s="29"/>
      <c r="W45" s="29"/>
      <c r="X45" s="29"/>
      <c r="Y45" s="29"/>
      <c r="Z45" s="29"/>
      <c r="AA45" s="29"/>
      <c r="AB45" s="29"/>
      <c r="AC45" s="29"/>
      <c r="AD45" s="29"/>
      <c r="AE45" s="29"/>
      <c r="AF45" s="29"/>
      <c r="AG45" s="29"/>
      <c r="AH45" s="29"/>
      <c r="AI45" s="29"/>
      <c r="AJ45" s="29"/>
      <c r="AL45" s="73">
        <v>0.0044668359215096045</v>
      </c>
      <c r="AM45" s="74">
        <f t="shared" si="0"/>
        <v>44.6795321653088</v>
      </c>
      <c r="AN45" s="75">
        <f t="shared" si="1"/>
        <v>-0.09171969712684451</v>
      </c>
      <c r="AO45" s="74">
        <f t="shared" si="2"/>
        <v>22.169927110405805</v>
      </c>
      <c r="AP45" s="74">
        <f t="shared" si="3"/>
        <v>90.08130636085225</v>
      </c>
      <c r="AQ45" s="74">
        <f t="shared" si="4"/>
        <v>66.84945927571461</v>
      </c>
      <c r="AR45" s="75">
        <f t="shared" si="4"/>
        <v>89.9895866637254</v>
      </c>
    </row>
    <row r="46" spans="2:44" ht="27.75">
      <c r="B46" s="30" t="s">
        <v>213</v>
      </c>
      <c r="C46" s="31" t="s">
        <v>7</v>
      </c>
      <c r="D46" s="10">
        <f>1000000000*0.00064/((D41+D39)*1000)</f>
        <v>1.9875776397515528</v>
      </c>
      <c r="E46" s="40" t="s">
        <v>212</v>
      </c>
      <c r="S46" s="55"/>
      <c r="T46" s="29"/>
      <c r="U46" s="29"/>
      <c r="V46" s="29"/>
      <c r="W46" s="29"/>
      <c r="X46" s="29"/>
      <c r="Y46" s="29"/>
      <c r="Z46" s="29"/>
      <c r="AA46" s="29"/>
      <c r="AB46" s="29"/>
      <c r="AC46" s="29"/>
      <c r="AD46" s="29"/>
      <c r="AE46" s="29"/>
      <c r="AF46" s="29"/>
      <c r="AG46" s="29"/>
      <c r="AH46" s="29"/>
      <c r="AI46" s="29"/>
      <c r="AJ46" s="29"/>
      <c r="AL46" s="73">
        <v>0.005011872336272691</v>
      </c>
      <c r="AM46" s="74">
        <f t="shared" si="0"/>
        <v>44.67952928659837</v>
      </c>
      <c r="AN46" s="75">
        <f t="shared" si="1"/>
        <v>-0.1029111700611552</v>
      </c>
      <c r="AO46" s="74">
        <f t="shared" si="2"/>
        <v>21.169930217095143</v>
      </c>
      <c r="AP46" s="74">
        <f t="shared" si="3"/>
        <v>90.09122721096301</v>
      </c>
      <c r="AQ46" s="74">
        <f t="shared" si="4"/>
        <v>65.84945950369351</v>
      </c>
      <c r="AR46" s="75">
        <f t="shared" si="4"/>
        <v>89.98831604090185</v>
      </c>
    </row>
    <row r="47" spans="2:44" ht="27.75">
      <c r="B47" s="30" t="s">
        <v>211</v>
      </c>
      <c r="C47" s="31" t="s">
        <v>7</v>
      </c>
      <c r="D47" s="2">
        <v>2.2</v>
      </c>
      <c r="E47" s="40" t="s">
        <v>214</v>
      </c>
      <c r="S47" s="55"/>
      <c r="T47" s="29"/>
      <c r="U47" s="29"/>
      <c r="V47" s="29"/>
      <c r="W47" s="29"/>
      <c r="X47" s="29"/>
      <c r="Y47" s="29"/>
      <c r="Z47" s="29"/>
      <c r="AA47" s="29"/>
      <c r="AB47" s="29"/>
      <c r="AC47" s="29"/>
      <c r="AD47" s="29"/>
      <c r="AE47" s="29"/>
      <c r="AF47" s="29"/>
      <c r="AG47" s="29"/>
      <c r="AH47" s="29"/>
      <c r="AI47" s="29"/>
      <c r="AJ47" s="29"/>
      <c r="AL47" s="73"/>
      <c r="AM47" s="74"/>
      <c r="AN47" s="75"/>
      <c r="AO47" s="74"/>
      <c r="AP47" s="74"/>
      <c r="AQ47" s="74"/>
      <c r="AR47" s="75"/>
    </row>
    <row r="48" spans="2:44" ht="27.75">
      <c r="B48" s="30" t="s">
        <v>217</v>
      </c>
      <c r="C48" s="31" t="s">
        <v>124</v>
      </c>
      <c r="D48" s="9">
        <f>100*0.000000001/(D47*0.000000001)</f>
        <v>45.45454545454545</v>
      </c>
      <c r="E48" s="40" t="s">
        <v>216</v>
      </c>
      <c r="S48" s="55"/>
      <c r="T48" s="29"/>
      <c r="U48" s="29"/>
      <c r="V48" s="29"/>
      <c r="W48" s="29"/>
      <c r="X48" s="29"/>
      <c r="Y48" s="29"/>
      <c r="Z48" s="29"/>
      <c r="AA48" s="29"/>
      <c r="AB48" s="29"/>
      <c r="AC48" s="29"/>
      <c r="AD48" s="29"/>
      <c r="AE48" s="29"/>
      <c r="AF48" s="29"/>
      <c r="AG48" s="29"/>
      <c r="AH48" s="29"/>
      <c r="AI48" s="29"/>
      <c r="AJ48" s="29"/>
      <c r="AL48" s="73"/>
      <c r="AM48" s="74"/>
      <c r="AN48" s="75"/>
      <c r="AO48" s="74"/>
      <c r="AP48" s="74"/>
      <c r="AQ48" s="74"/>
      <c r="AR48" s="75"/>
    </row>
    <row r="49" spans="2:44" ht="27.75">
      <c r="B49" s="30" t="s">
        <v>215</v>
      </c>
      <c r="C49" s="31" t="s">
        <v>124</v>
      </c>
      <c r="D49" s="2">
        <v>47</v>
      </c>
      <c r="E49" s="40" t="s">
        <v>218</v>
      </c>
      <c r="S49" s="55"/>
      <c r="T49" s="29"/>
      <c r="U49" s="29"/>
      <c r="V49" s="29"/>
      <c r="W49" s="29"/>
      <c r="X49" s="29"/>
      <c r="Y49" s="29"/>
      <c r="Z49" s="29"/>
      <c r="AA49" s="29"/>
      <c r="AB49" s="29"/>
      <c r="AC49" s="29"/>
      <c r="AD49" s="29"/>
      <c r="AE49" s="29"/>
      <c r="AF49" s="29"/>
      <c r="AG49" s="29"/>
      <c r="AH49" s="29"/>
      <c r="AI49" s="29"/>
      <c r="AJ49" s="29"/>
      <c r="AL49" s="73"/>
      <c r="AM49" s="74"/>
      <c r="AN49" s="75"/>
      <c r="AO49" s="74"/>
      <c r="AP49" s="74"/>
      <c r="AQ49" s="74"/>
      <c r="AR49" s="75"/>
    </row>
    <row r="50" spans="19:44" ht="27.75">
      <c r="S50" s="55"/>
      <c r="T50" s="29"/>
      <c r="U50" s="29"/>
      <c r="V50" s="29"/>
      <c r="W50" s="29"/>
      <c r="X50" s="29"/>
      <c r="Y50" s="29"/>
      <c r="Z50" s="29"/>
      <c r="AA50" s="29"/>
      <c r="AB50" s="29"/>
      <c r="AC50" s="29"/>
      <c r="AD50" s="29"/>
      <c r="AE50" s="29"/>
      <c r="AF50" s="29"/>
      <c r="AG50" s="29"/>
      <c r="AH50" s="29"/>
      <c r="AI50" s="29"/>
      <c r="AJ50" s="29"/>
      <c r="AL50" s="73">
        <v>0.005623413251903452</v>
      </c>
      <c r="AM50" s="74">
        <f t="shared" si="0"/>
        <v>44.67952566251935</v>
      </c>
      <c r="AN50" s="75">
        <f t="shared" si="1"/>
        <v>-0.11546819984396056</v>
      </c>
      <c r="AO50" s="74">
        <f t="shared" si="2"/>
        <v>20.16993412818197</v>
      </c>
      <c r="AP50" s="74">
        <f t="shared" si="3"/>
        <v>90.10235857699298</v>
      </c>
      <c r="AQ50" s="74">
        <f t="shared" si="4"/>
        <v>64.84945979070133</v>
      </c>
      <c r="AR50" s="75">
        <f t="shared" si="4"/>
        <v>89.98689037714902</v>
      </c>
    </row>
    <row r="51" spans="2:44" ht="27.75">
      <c r="B51" s="41" t="s">
        <v>207</v>
      </c>
      <c r="D51" s="30"/>
      <c r="E51" s="40"/>
      <c r="T51" s="56" t="s">
        <v>72</v>
      </c>
      <c r="U51" s="57"/>
      <c r="V51" s="57"/>
      <c r="W51" s="57"/>
      <c r="X51" s="57"/>
      <c r="AL51" s="73">
        <v>0.006309573444801885</v>
      </c>
      <c r="AM51" s="74">
        <f t="shared" si="0"/>
        <v>44.679521100078496</v>
      </c>
      <c r="AN51" s="75">
        <f t="shared" si="1"/>
        <v>-0.12955740574146687</v>
      </c>
      <c r="AO51" s="74">
        <f t="shared" si="2"/>
        <v>19.169939051943306</v>
      </c>
      <c r="AP51" s="74">
        <f t="shared" si="3"/>
        <v>90.11484815973654</v>
      </c>
      <c r="AQ51" s="74">
        <f t="shared" si="4"/>
        <v>63.849460152021805</v>
      </c>
      <c r="AR51" s="75">
        <f t="shared" si="4"/>
        <v>89.98529075399507</v>
      </c>
    </row>
    <row r="52" spans="2:44" ht="27.75">
      <c r="B52" s="30" t="s">
        <v>105</v>
      </c>
      <c r="C52" s="31" t="s">
        <v>7</v>
      </c>
      <c r="D52" s="11">
        <f>(0.0005*D7*D7/19.739/(D24*0.000001)/VLOOKUP(D19,T54:X62,2)/(D27*0.000001)/D9/D9/D16/D16/TAN(D17*3.14/180))*1000000000</f>
        <v>564.0772736660051</v>
      </c>
      <c r="E52" s="40" t="s">
        <v>189</v>
      </c>
      <c r="T52" s="58" t="s">
        <v>71</v>
      </c>
      <c r="U52" s="59" t="s">
        <v>57</v>
      </c>
      <c r="V52" s="60" t="s">
        <v>58</v>
      </c>
      <c r="W52" s="61" t="s">
        <v>59</v>
      </c>
      <c r="X52" s="61" t="s">
        <v>60</v>
      </c>
      <c r="AL52" s="73">
        <v>0.007079457843841329</v>
      </c>
      <c r="AM52" s="74">
        <f t="shared" si="0"/>
        <v>44.67951535631258</v>
      </c>
      <c r="AN52" s="75">
        <f t="shared" si="1"/>
        <v>-0.1453657360488175</v>
      </c>
      <c r="AO52" s="74">
        <f t="shared" si="2"/>
        <v>18.169945250583222</v>
      </c>
      <c r="AP52" s="74">
        <f t="shared" si="3"/>
        <v>90.12886168035965</v>
      </c>
      <c r="AQ52" s="74">
        <f t="shared" si="4"/>
        <v>62.8494606068958</v>
      </c>
      <c r="AR52" s="75">
        <f t="shared" si="4"/>
        <v>89.98349594431083</v>
      </c>
    </row>
    <row r="53" spans="2:44" ht="27.75">
      <c r="B53" s="30" t="s">
        <v>106</v>
      </c>
      <c r="C53" s="31" t="s">
        <v>7</v>
      </c>
      <c r="D53" s="2">
        <v>560</v>
      </c>
      <c r="E53" s="40" t="s">
        <v>48</v>
      </c>
      <c r="T53" s="62" t="s">
        <v>25</v>
      </c>
      <c r="U53" s="63" t="s">
        <v>204</v>
      </c>
      <c r="V53" s="63" t="s">
        <v>3</v>
      </c>
      <c r="W53" s="63" t="s">
        <v>205</v>
      </c>
      <c r="X53" s="63" t="s">
        <v>205</v>
      </c>
      <c r="AL53" s="73">
        <v>0.007943282347242755</v>
      </c>
      <c r="AM53" s="74">
        <f t="shared" si="0"/>
        <v>44.6795081253505</v>
      </c>
      <c r="AN53" s="75">
        <f t="shared" si="1"/>
        <v>-0.16310294794822633</v>
      </c>
      <c r="AO53" s="74">
        <f t="shared" si="2"/>
        <v>17.169953054195318</v>
      </c>
      <c r="AP53" s="74">
        <f t="shared" si="3"/>
        <v>90.14458507845416</v>
      </c>
      <c r="AQ53" s="74">
        <f t="shared" si="4"/>
        <v>61.84946117954582</v>
      </c>
      <c r="AR53" s="75">
        <f t="shared" si="4"/>
        <v>89.98148213050592</v>
      </c>
    </row>
    <row r="54" spans="2:44" ht="27.75">
      <c r="B54" s="30" t="s">
        <v>107</v>
      </c>
      <c r="C54" s="31" t="s">
        <v>126</v>
      </c>
      <c r="D54" s="10">
        <f>((0.0005*D7*D7/6.28/VLOOKUP(D19,T54:X62,2)/(D27*0.000001)/D11/D16)-(D52*0.000000001))*1000000</f>
        <v>2.9347533393913188</v>
      </c>
      <c r="E54" s="40" t="s">
        <v>200</v>
      </c>
      <c r="T54" s="64" t="s">
        <v>40</v>
      </c>
      <c r="U54" s="64">
        <v>320000</v>
      </c>
      <c r="V54" s="65">
        <v>0.27</v>
      </c>
      <c r="W54" s="65">
        <v>25</v>
      </c>
      <c r="X54" s="65">
        <v>8.33</v>
      </c>
      <c r="AL54" s="73">
        <v>0.008912509381337384</v>
      </c>
      <c r="AM54" s="74">
        <f t="shared" si="0"/>
        <v>44.67949902212571</v>
      </c>
      <c r="AN54" s="75">
        <f t="shared" si="1"/>
        <v>-0.18300438968390167</v>
      </c>
      <c r="AO54" s="74">
        <f t="shared" si="2"/>
        <v>16.16996287833995</v>
      </c>
      <c r="AP54" s="74">
        <f t="shared" si="3"/>
        <v>90.16222697798024</v>
      </c>
      <c r="AQ54" s="74">
        <f t="shared" si="4"/>
        <v>60.849461900465656</v>
      </c>
      <c r="AR54" s="75">
        <f t="shared" si="4"/>
        <v>89.97922258829634</v>
      </c>
    </row>
    <row r="55" spans="2:44" ht="27.75">
      <c r="B55" s="30" t="s">
        <v>108</v>
      </c>
      <c r="C55" s="31" t="s">
        <v>126</v>
      </c>
      <c r="D55" s="2">
        <v>3</v>
      </c>
      <c r="E55" s="40" t="s">
        <v>201</v>
      </c>
      <c r="T55" s="64" t="s">
        <v>41</v>
      </c>
      <c r="U55" s="64">
        <v>320000</v>
      </c>
      <c r="V55" s="65">
        <v>0.45</v>
      </c>
      <c r="W55" s="65">
        <v>25</v>
      </c>
      <c r="X55" s="65">
        <v>8.33</v>
      </c>
      <c r="AL55" s="73">
        <v>0.009999999999999917</v>
      </c>
      <c r="AM55" s="74">
        <f t="shared" si="0"/>
        <v>44.67948756187183</v>
      </c>
      <c r="AN55" s="75">
        <f t="shared" si="1"/>
        <v>-0.2053341218299196</v>
      </c>
      <c r="AO55" s="74">
        <f t="shared" si="2"/>
        <v>15.169975246172058</v>
      </c>
      <c r="AP55" s="74">
        <f t="shared" si="3"/>
        <v>90.18202145365444</v>
      </c>
      <c r="AQ55" s="74">
        <f t="shared" si="4"/>
        <v>59.84946280804389</v>
      </c>
      <c r="AR55" s="75">
        <f t="shared" si="4"/>
        <v>89.97668733182452</v>
      </c>
    </row>
    <row r="56" spans="2:44" ht="27.75">
      <c r="B56" s="30" t="s">
        <v>109</v>
      </c>
      <c r="C56" s="31" t="s">
        <v>128</v>
      </c>
      <c r="D56" s="11">
        <f>((D24*0.000001)*D9*D9/2/(D54*0.000001)/D11)*0.001</f>
        <v>19.435193831938815</v>
      </c>
      <c r="E56" s="40" t="s">
        <v>202</v>
      </c>
      <c r="T56" s="64" t="s">
        <v>42</v>
      </c>
      <c r="U56" s="64">
        <v>320000</v>
      </c>
      <c r="V56" s="65">
        <v>0.68</v>
      </c>
      <c r="W56" s="65">
        <v>25</v>
      </c>
      <c r="X56" s="65">
        <v>8.33</v>
      </c>
      <c r="AL56" s="73">
        <v>0.011220184543019535</v>
      </c>
      <c r="AM56" s="74">
        <f t="shared" si="0"/>
        <v>44.67947313430999</v>
      </c>
      <c r="AN56" s="75">
        <f t="shared" si="1"/>
        <v>-0.23038841886835745</v>
      </c>
      <c r="AO56" s="74">
        <f t="shared" si="2"/>
        <v>14.169990816297574</v>
      </c>
      <c r="AP56" s="74">
        <f t="shared" si="3"/>
        <v>90.20423113425963</v>
      </c>
      <c r="AQ56" s="74">
        <f t="shared" si="4"/>
        <v>58.84946395060756</v>
      </c>
      <c r="AR56" s="75">
        <f t="shared" si="4"/>
        <v>89.97384271539127</v>
      </c>
    </row>
    <row r="57" spans="2:44" ht="27.75">
      <c r="B57" s="30" t="s">
        <v>110</v>
      </c>
      <c r="C57" s="31" t="s">
        <v>128</v>
      </c>
      <c r="D57" s="2">
        <v>20</v>
      </c>
      <c r="E57" s="40" t="s">
        <v>203</v>
      </c>
      <c r="T57" s="64" t="s">
        <v>43</v>
      </c>
      <c r="U57" s="64">
        <v>640000</v>
      </c>
      <c r="V57" s="65">
        <v>0.54</v>
      </c>
      <c r="W57" s="65">
        <v>12.5</v>
      </c>
      <c r="X57" s="65">
        <v>4.17</v>
      </c>
      <c r="AL57" s="73">
        <v>0.012589254117941566</v>
      </c>
      <c r="AM57" s="74">
        <f t="shared" si="0"/>
        <v>44.679454971153916</v>
      </c>
      <c r="AN57" s="75">
        <f t="shared" si="1"/>
        <v>-0.25849969725897837</v>
      </c>
      <c r="AO57" s="74">
        <f t="shared" si="2"/>
        <v>13.170010417840837</v>
      </c>
      <c r="AP57" s="74">
        <f t="shared" si="3"/>
        <v>90.22915068372822</v>
      </c>
      <c r="AQ57" s="74">
        <f t="shared" si="4"/>
        <v>57.84946538899475</v>
      </c>
      <c r="AR57" s="75">
        <f t="shared" si="4"/>
        <v>89.97065098646924</v>
      </c>
    </row>
    <row r="58" spans="2:44" ht="27.75">
      <c r="B58" s="30" t="s">
        <v>188</v>
      </c>
      <c r="C58" s="31" t="s">
        <v>9</v>
      </c>
      <c r="D58" s="10">
        <f>D11/3.14/D9/D9/(D24*0.000001)</f>
        <v>2.7917715325848595</v>
      </c>
      <c r="E58" s="40" t="s">
        <v>17</v>
      </c>
      <c r="T58" s="64" t="s">
        <v>39</v>
      </c>
      <c r="U58" s="64">
        <v>640000</v>
      </c>
      <c r="V58" s="65">
        <v>0.9</v>
      </c>
      <c r="W58" s="65">
        <v>12.5</v>
      </c>
      <c r="X58" s="65">
        <v>4.17</v>
      </c>
      <c r="AL58" s="73">
        <v>0.014125375446227429</v>
      </c>
      <c r="AM58" s="74">
        <f t="shared" si="0"/>
        <v>44.67943210520318</v>
      </c>
      <c r="AN58" s="75">
        <f t="shared" si="1"/>
        <v>-0.29004092172451307</v>
      </c>
      <c r="AO58" s="74">
        <f t="shared" si="2"/>
        <v>12.170035094589586</v>
      </c>
      <c r="AP58" s="74">
        <f t="shared" si="3"/>
        <v>90.2571107057281</v>
      </c>
      <c r="AQ58" s="74">
        <f t="shared" si="4"/>
        <v>56.84946719979277</v>
      </c>
      <c r="AR58" s="75">
        <f t="shared" si="4"/>
        <v>89.96706978400358</v>
      </c>
    </row>
    <row r="59" spans="2:44" ht="27.75">
      <c r="B59" s="30" t="s">
        <v>111</v>
      </c>
      <c r="C59" s="31" t="s">
        <v>9</v>
      </c>
      <c r="D59" s="10">
        <f>1/12560/D9/(D55*0.000001+D53*0.000000001)</f>
        <v>0.05734502621355837</v>
      </c>
      <c r="E59" s="40" t="s">
        <v>156</v>
      </c>
      <c r="T59" s="64" t="s">
        <v>44</v>
      </c>
      <c r="U59" s="64">
        <v>640000</v>
      </c>
      <c r="V59" s="65">
        <v>1.35</v>
      </c>
      <c r="W59" s="65">
        <v>12.5</v>
      </c>
      <c r="X59" s="65">
        <v>4.17</v>
      </c>
      <c r="AL59" s="73">
        <v>0.015848931924611</v>
      </c>
      <c r="AM59" s="74">
        <f t="shared" si="0"/>
        <v>44.67940331884792</v>
      </c>
      <c r="AN59" s="75">
        <f t="shared" si="1"/>
        <v>-0.32543054765663626</v>
      </c>
      <c r="AO59" s="74">
        <f t="shared" si="2"/>
        <v>11.170066160566186</v>
      </c>
      <c r="AP59" s="74">
        <f t="shared" si="3"/>
        <v>90.28848212290885</v>
      </c>
      <c r="AQ59" s="74">
        <f t="shared" si="4"/>
        <v>55.849469479414104</v>
      </c>
      <c r="AR59" s="75">
        <f t="shared" si="4"/>
        <v>89.96305157525221</v>
      </c>
    </row>
    <row r="60" spans="2:44" ht="27.75">
      <c r="B60" s="30" t="s">
        <v>112</v>
      </c>
      <c r="C60" s="31" t="s">
        <v>9</v>
      </c>
      <c r="D60" s="10">
        <f>1/6.28/(D57*1000)/(D55*0.000001)</f>
        <v>2.653927813163482</v>
      </c>
      <c r="E60" s="40" t="s">
        <v>157</v>
      </c>
      <c r="T60" s="64" t="s">
        <v>45</v>
      </c>
      <c r="U60" s="64">
        <v>960384</v>
      </c>
      <c r="V60" s="65">
        <v>0.82</v>
      </c>
      <c r="W60" s="65">
        <v>8.33</v>
      </c>
      <c r="X60" s="65">
        <v>2.78</v>
      </c>
      <c r="AL60" s="73">
        <v>0.017782794100389084</v>
      </c>
      <c r="AM60" s="74">
        <f t="shared" si="0"/>
        <v>44.679367079245075</v>
      </c>
      <c r="AN60" s="75">
        <f t="shared" si="1"/>
        <v>-0.36513806442928076</v>
      </c>
      <c r="AO60" s="74">
        <f t="shared" si="2"/>
        <v>10.170105269981553</v>
      </c>
      <c r="AP60" s="74">
        <f t="shared" si="3"/>
        <v>90.32368108799558</v>
      </c>
      <c r="AQ60" s="74">
        <f t="shared" si="4"/>
        <v>54.84947234922663</v>
      </c>
      <c r="AR60" s="75">
        <f t="shared" si="4"/>
        <v>89.9585430235663</v>
      </c>
    </row>
    <row r="61" spans="2:44" ht="27.75">
      <c r="B61" s="30" t="s">
        <v>113</v>
      </c>
      <c r="C61" s="31" t="s">
        <v>9</v>
      </c>
      <c r="D61" s="9">
        <f>(D53*0.000000001+D55*0.000001)/6.28/(D57*1000)/(D53*0.000000001)/(D55*0.000001)</f>
        <v>16.87139824082499</v>
      </c>
      <c r="E61" s="40" t="s">
        <v>158</v>
      </c>
      <c r="T61" s="64" t="s">
        <v>46</v>
      </c>
      <c r="U61" s="64">
        <v>960384</v>
      </c>
      <c r="V61" s="65">
        <v>1.35</v>
      </c>
      <c r="W61" s="65">
        <v>8.33</v>
      </c>
      <c r="X61" s="65">
        <v>2.78</v>
      </c>
      <c r="AL61" s="73">
        <v>0.019952623149688643</v>
      </c>
      <c r="AM61" s="74">
        <f t="shared" si="0"/>
        <v>44.679321456718114</v>
      </c>
      <c r="AN61" s="75">
        <f t="shared" si="1"/>
        <v>-0.4096902120513239</v>
      </c>
      <c r="AO61" s="74">
        <f t="shared" si="2"/>
        <v>9.170154505292206</v>
      </c>
      <c r="AP61" s="74">
        <f t="shared" si="3"/>
        <v>90.3631744905936</v>
      </c>
      <c r="AQ61" s="74">
        <f t="shared" si="4"/>
        <v>53.84947596201032</v>
      </c>
      <c r="AR61" s="75">
        <f t="shared" si="4"/>
        <v>89.95348427854226</v>
      </c>
    </row>
    <row r="62" spans="2:44" ht="27.75">
      <c r="B62" s="30" t="s">
        <v>114</v>
      </c>
      <c r="C62" s="31" t="s">
        <v>25</v>
      </c>
      <c r="D62" s="9">
        <f>D9*D7*D7/VLOOKUP(D19,T54:U62,2)/(D27*0.000001)/D11</f>
        <v>171.38671875</v>
      </c>
      <c r="E62" s="40" t="s">
        <v>50</v>
      </c>
      <c r="T62" s="64" t="s">
        <v>47</v>
      </c>
      <c r="U62" s="64">
        <v>960384</v>
      </c>
      <c r="V62" s="65">
        <v>2</v>
      </c>
      <c r="W62" s="65">
        <v>8.33</v>
      </c>
      <c r="X62" s="65">
        <v>2.78</v>
      </c>
      <c r="AL62" s="73">
        <v>0.022387211385683222</v>
      </c>
      <c r="AM62" s="74">
        <f t="shared" si="0"/>
        <v>44.67926402204105</v>
      </c>
      <c r="AN62" s="75">
        <f t="shared" si="1"/>
        <v>-0.4596779520618799</v>
      </c>
      <c r="AO62" s="74">
        <f t="shared" si="2"/>
        <v>8.170216488042014</v>
      </c>
      <c r="AP62" s="74">
        <f t="shared" si="3"/>
        <v>90.40748613093501</v>
      </c>
      <c r="AQ62" s="74">
        <f t="shared" si="4"/>
        <v>52.84948051008307</v>
      </c>
      <c r="AR62" s="75">
        <f t="shared" si="4"/>
        <v>89.94780817887313</v>
      </c>
    </row>
    <row r="63" spans="2:44" ht="27.75">
      <c r="B63" s="30" t="s">
        <v>115</v>
      </c>
      <c r="C63" s="31" t="s">
        <v>9</v>
      </c>
      <c r="D63" s="9">
        <f>D59*D62*D58/D60</f>
        <v>10.338646552925189</v>
      </c>
      <c r="E63" s="40" t="s">
        <v>191</v>
      </c>
      <c r="U63" s="66"/>
      <c r="AL63" s="73">
        <v>0.025118864315095607</v>
      </c>
      <c r="AM63" s="74">
        <f t="shared" si="0"/>
        <v>44.67919171714658</v>
      </c>
      <c r="AN63" s="75">
        <f t="shared" si="1"/>
        <v>-0.5157642829250788</v>
      </c>
      <c r="AO63" s="74">
        <f t="shared" si="2"/>
        <v>7.170294518379177</v>
      </c>
      <c r="AP63" s="74">
        <f t="shared" si="3"/>
        <v>90.4572036398887</v>
      </c>
      <c r="AQ63" s="74">
        <f t="shared" si="4"/>
        <v>51.84948623552576</v>
      </c>
      <c r="AR63" s="75">
        <f t="shared" si="4"/>
        <v>89.94143935696363</v>
      </c>
    </row>
    <row r="64" spans="2:44" ht="28.5">
      <c r="B64" s="39" t="s">
        <v>116</v>
      </c>
      <c r="C64" s="31" t="s">
        <v>49</v>
      </c>
      <c r="D64" s="11">
        <f>-(180/3.14)*ATAN(D63/D58)-90+(180/3.14)*ATAN(D63/D60)-(180/3.14)*ATAN(D63/D61)-180+360</f>
        <v>59.19913879131116</v>
      </c>
      <c r="E64" s="40" t="s">
        <v>192</v>
      </c>
      <c r="AL64" s="73">
        <v>0.028183829312644328</v>
      </c>
      <c r="AM64" s="74">
        <f t="shared" si="0"/>
        <v>44.679100692389184</v>
      </c>
      <c r="AN64" s="75">
        <f t="shared" si="1"/>
        <v>-0.5786930004627566</v>
      </c>
      <c r="AO64" s="74">
        <f t="shared" si="2"/>
        <v>6.17039275065891</v>
      </c>
      <c r="AP64" s="74">
        <f t="shared" si="3"/>
        <v>90.5129862333864</v>
      </c>
      <c r="AQ64" s="74">
        <f t="shared" si="4"/>
        <v>50.8494934430481</v>
      </c>
      <c r="AR64" s="75">
        <f t="shared" si="4"/>
        <v>89.93429323292364</v>
      </c>
    </row>
    <row r="65" spans="5:44" ht="27.75">
      <c r="E65" s="49" t="s">
        <v>193</v>
      </c>
      <c r="U65" s="48"/>
      <c r="AL65" s="73">
        <v>0.03162277660168356</v>
      </c>
      <c r="AM65" s="74">
        <f t="shared" si="0"/>
        <v>44.67898610172166</v>
      </c>
      <c r="AN65" s="75">
        <f t="shared" si="1"/>
        <v>-0.6492985150983079</v>
      </c>
      <c r="AO65" s="74">
        <f t="shared" si="2"/>
        <v>5.170516414452542</v>
      </c>
      <c r="AP65" s="74">
        <f t="shared" si="3"/>
        <v>90.57557339897622</v>
      </c>
      <c r="AQ65" s="74">
        <f t="shared" si="4"/>
        <v>49.849502516174205</v>
      </c>
      <c r="AR65" s="75">
        <f t="shared" si="4"/>
        <v>89.92627488387791</v>
      </c>
    </row>
    <row r="66" spans="2:44" ht="27.75">
      <c r="B66" s="6"/>
      <c r="C66" s="6"/>
      <c r="D66" s="6"/>
      <c r="E66" s="40"/>
      <c r="AL66" s="73">
        <v>0.03548133892335728</v>
      </c>
      <c r="AM66" s="74">
        <f t="shared" si="0"/>
        <v>44.678841844917415</v>
      </c>
      <c r="AN66" s="75">
        <f t="shared" si="1"/>
        <v>-0.7285168498654802</v>
      </c>
      <c r="AO66" s="74">
        <f t="shared" si="2"/>
        <v>4.170672092683994</v>
      </c>
      <c r="AP66" s="74">
        <f t="shared" si="3"/>
        <v>90.64579462244782</v>
      </c>
      <c r="AQ66" s="74">
        <f t="shared" si="4"/>
        <v>48.84951393760141</v>
      </c>
      <c r="AR66" s="75">
        <f t="shared" si="4"/>
        <v>89.91727777258234</v>
      </c>
    </row>
    <row r="67" spans="2:44" ht="27.75">
      <c r="B67" s="41" t="s">
        <v>53</v>
      </c>
      <c r="C67" s="6"/>
      <c r="D67" s="7"/>
      <c r="E67" s="40"/>
      <c r="AL67" s="73">
        <v>0.03981071705534944</v>
      </c>
      <c r="AM67" s="74">
        <f t="shared" si="0"/>
        <v>44.6786602431738</v>
      </c>
      <c r="AN67" s="75">
        <f t="shared" si="1"/>
        <v>-0.8173979562028196</v>
      </c>
      <c r="AO67" s="74">
        <f t="shared" si="2"/>
        <v>3.170868071628339</v>
      </c>
      <c r="AP67" s="74">
        <f t="shared" si="3"/>
        <v>90.72458027325996</v>
      </c>
      <c r="AQ67" s="74">
        <f t="shared" si="4"/>
        <v>47.84952831480214</v>
      </c>
      <c r="AR67" s="75">
        <f t="shared" si="4"/>
        <v>89.90718231705713</v>
      </c>
    </row>
    <row r="68" spans="2:44" ht="27.75">
      <c r="B68" s="30" t="s">
        <v>161</v>
      </c>
      <c r="C68" s="31" t="s">
        <v>3</v>
      </c>
      <c r="D68" s="11">
        <f>((D41+D39)/D39)*1.392/1.414</f>
        <v>14.408640864086408</v>
      </c>
      <c r="E68" s="40" t="s">
        <v>51</v>
      </c>
      <c r="AL68" s="73">
        <v>0.044668359215096</v>
      </c>
      <c r="AM68" s="74">
        <f t="shared" si="0"/>
        <v>44.67843163092102</v>
      </c>
      <c r="AN68" s="75">
        <f t="shared" si="1"/>
        <v>-0.9171194983697235</v>
      </c>
      <c r="AO68" s="74">
        <f t="shared" si="2"/>
        <v>2.1711147812890763</v>
      </c>
      <c r="AP68" s="74">
        <f t="shared" si="3"/>
        <v>90.8129737786227</v>
      </c>
      <c r="AQ68" s="74">
        <f t="shared" si="4"/>
        <v>46.849546412210096</v>
      </c>
      <c r="AR68" s="75">
        <f t="shared" si="4"/>
        <v>89.89585428025298</v>
      </c>
    </row>
    <row r="69" spans="2:44" ht="27.75">
      <c r="B69" s="30" t="s">
        <v>162</v>
      </c>
      <c r="C69" s="31" t="s">
        <v>3</v>
      </c>
      <c r="D69" s="11">
        <f>((D41+D39)/D39)*1.801/1.414</f>
        <v>18.64221422142214</v>
      </c>
      <c r="E69" s="40" t="s">
        <v>52</v>
      </c>
      <c r="AL69" s="73">
        <v>0.050118723362726866</v>
      </c>
      <c r="AM69" s="74">
        <f t="shared" si="0"/>
        <v>44.678143842256915</v>
      </c>
      <c r="AN69" s="75">
        <f t="shared" si="1"/>
        <v>-1.0290022716280782</v>
      </c>
      <c r="AO69" s="74">
        <f t="shared" si="2"/>
        <v>1.1714253494124462</v>
      </c>
      <c r="AP69" s="74">
        <f t="shared" si="3"/>
        <v>90.91214522718401</v>
      </c>
      <c r="AQ69" s="74">
        <f t="shared" si="4"/>
        <v>45.84956919166936</v>
      </c>
      <c r="AR69" s="75">
        <f t="shared" si="4"/>
        <v>89.88314295555594</v>
      </c>
    </row>
    <row r="70" spans="2:44" ht="27.75">
      <c r="B70" s="6"/>
      <c r="C70" s="6"/>
      <c r="D70" s="6"/>
      <c r="E70" s="40"/>
      <c r="AL70" s="73">
        <v>0.05623413251903454</v>
      </c>
      <c r="AM70" s="74">
        <f t="shared" si="0"/>
        <v>44.67778156490894</v>
      </c>
      <c r="AN70" s="75">
        <f t="shared" si="1"/>
        <v>-1.1545274337060794</v>
      </c>
      <c r="AO70" s="74">
        <f t="shared" si="2"/>
        <v>0.1718162983357025</v>
      </c>
      <c r="AP70" s="74">
        <f t="shared" si="3"/>
        <v>91.0234065537749</v>
      </c>
      <c r="AQ70" s="74">
        <f t="shared" si="4"/>
        <v>44.84959786324464</v>
      </c>
      <c r="AR70" s="75">
        <f t="shared" si="4"/>
        <v>89.86887912006883</v>
      </c>
    </row>
    <row r="71" spans="2:44" ht="27.75">
      <c r="B71" s="41" t="s">
        <v>182</v>
      </c>
      <c r="C71" s="6"/>
      <c r="D71" s="6"/>
      <c r="E71" s="40"/>
      <c r="R71" s="29"/>
      <c r="S71" s="29"/>
      <c r="T71" s="29" t="s">
        <v>173</v>
      </c>
      <c r="U71" s="29"/>
      <c r="V71" s="29"/>
      <c r="W71" s="29"/>
      <c r="X71" s="29"/>
      <c r="Y71" s="29"/>
      <c r="Z71" s="29"/>
      <c r="AA71" s="29"/>
      <c r="AL71" s="73">
        <v>0.0630957344480189</v>
      </c>
      <c r="AM71" s="74">
        <f t="shared" si="0"/>
        <v>44.67732552771571</v>
      </c>
      <c r="AN71" s="75">
        <f t="shared" si="1"/>
        <v>-1.2953557428192697</v>
      </c>
      <c r="AO71" s="74">
        <f t="shared" si="2"/>
        <v>-0.8276915787059188</v>
      </c>
      <c r="AP71" s="74">
        <f t="shared" si="3"/>
        <v>91.14822846571177</v>
      </c>
      <c r="AQ71" s="74">
        <f t="shared" si="4"/>
        <v>43.84963394900979</v>
      </c>
      <c r="AR71" s="75">
        <f t="shared" si="4"/>
        <v>89.8528727228925</v>
      </c>
    </row>
    <row r="72" spans="2:44" ht="31.5">
      <c r="B72" s="30" t="s">
        <v>163</v>
      </c>
      <c r="C72" s="31" t="s">
        <v>3</v>
      </c>
      <c r="D72" s="16" t="s">
        <v>77</v>
      </c>
      <c r="E72" s="40" t="s">
        <v>55</v>
      </c>
      <c r="R72" s="29"/>
      <c r="S72" s="51" t="s">
        <v>179</v>
      </c>
      <c r="T72" s="51" t="s">
        <v>183</v>
      </c>
      <c r="U72" s="52">
        <f>D11</f>
        <v>160</v>
      </c>
      <c r="V72" s="53" t="s">
        <v>208</v>
      </c>
      <c r="W72" s="29"/>
      <c r="X72" s="29"/>
      <c r="Y72" s="29"/>
      <c r="Z72" s="29"/>
      <c r="AA72" s="29"/>
      <c r="AL72" s="73">
        <v>0.07079457843841332</v>
      </c>
      <c r="AM72" s="74">
        <f t="shared" si="0"/>
        <v>44.67675147898679</v>
      </c>
      <c r="AN72" s="75">
        <f t="shared" si="1"/>
        <v>-1.4533490076284719</v>
      </c>
      <c r="AO72" s="74">
        <f t="shared" si="2"/>
        <v>-1.827072115915238</v>
      </c>
      <c r="AP72" s="74">
        <f t="shared" si="3"/>
        <v>91.28825927744614</v>
      </c>
      <c r="AQ72" s="74">
        <f t="shared" si="4"/>
        <v>42.84967936307155</v>
      </c>
      <c r="AR72" s="75">
        <f t="shared" si="4"/>
        <v>89.83491026981767</v>
      </c>
    </row>
    <row r="73" spans="2:44" ht="31.5">
      <c r="B73" s="30" t="s">
        <v>164</v>
      </c>
      <c r="C73" s="31" t="s">
        <v>3</v>
      </c>
      <c r="D73" s="16" t="s">
        <v>77</v>
      </c>
      <c r="E73" s="40" t="s">
        <v>56</v>
      </c>
      <c r="R73" s="29"/>
      <c r="S73" s="51" t="s">
        <v>179</v>
      </c>
      <c r="T73" s="51" t="s">
        <v>184</v>
      </c>
      <c r="U73" s="52">
        <f>D7</f>
        <v>90</v>
      </c>
      <c r="V73" s="53" t="s">
        <v>209</v>
      </c>
      <c r="W73" s="29"/>
      <c r="X73" s="29"/>
      <c r="Y73" s="29"/>
      <c r="Z73" s="29"/>
      <c r="AA73" s="29"/>
      <c r="AL73" s="73">
        <v>0.07943282347242764</v>
      </c>
      <c r="AM73" s="74">
        <f t="shared" si="0"/>
        <v>44.676028902328596</v>
      </c>
      <c r="AN73" s="75">
        <f t="shared" si="1"/>
        <v>-1.6305939634101219</v>
      </c>
      <c r="AO73" s="74">
        <f t="shared" si="2"/>
        <v>-2.826292390460323</v>
      </c>
      <c r="AP73" s="74">
        <f t="shared" si="3"/>
        <v>91.44534582199205</v>
      </c>
      <c r="AQ73" s="74">
        <f t="shared" si="4"/>
        <v>41.84973651186827</v>
      </c>
      <c r="AR73" s="75">
        <f t="shared" si="4"/>
        <v>89.81475185858193</v>
      </c>
    </row>
    <row r="74" spans="4:44" ht="27.75">
      <c r="D74" s="6"/>
      <c r="R74" s="29"/>
      <c r="S74" s="29"/>
      <c r="T74" s="29"/>
      <c r="U74" s="29"/>
      <c r="V74" s="29"/>
      <c r="W74" s="29"/>
      <c r="X74" s="29"/>
      <c r="Y74" s="29"/>
      <c r="Z74" s="29"/>
      <c r="AA74" s="29"/>
      <c r="AL74" s="73">
        <v>0.089125093813374</v>
      </c>
      <c r="AM74" s="74">
        <f t="shared" si="0"/>
        <v>44.67511940312289</v>
      </c>
      <c r="AN74" s="75">
        <f t="shared" si="1"/>
        <v>-1.8294287921154389</v>
      </c>
      <c r="AO74" s="74">
        <f t="shared" si="2"/>
        <v>-3.8253109833887655</v>
      </c>
      <c r="AP74" s="74">
        <f t="shared" si="3"/>
        <v>91.62155660179415</v>
      </c>
      <c r="AQ74" s="74">
        <f t="shared" si="4"/>
        <v>40.849808419734124</v>
      </c>
      <c r="AR74" s="75">
        <f t="shared" si="4"/>
        <v>89.79212780967872</v>
      </c>
    </row>
    <row r="75" spans="2:44" ht="27.75">
      <c r="B75" s="41" t="s">
        <v>61</v>
      </c>
      <c r="D75" s="6"/>
      <c r="R75" s="29"/>
      <c r="S75" s="29"/>
      <c r="T75" s="29"/>
      <c r="U75" s="29"/>
      <c r="V75" s="29"/>
      <c r="W75" s="29"/>
      <c r="X75" s="29"/>
      <c r="Y75" s="29"/>
      <c r="Z75" s="29"/>
      <c r="AA75" s="29"/>
      <c r="AL75" s="73">
        <v>0.09999999999999937</v>
      </c>
      <c r="AM75" s="74">
        <f t="shared" si="0"/>
        <v>44.67397468222153</v>
      </c>
      <c r="AN75" s="75">
        <f t="shared" si="1"/>
        <v>-2.052472498583714</v>
      </c>
      <c r="AO75" s="74">
        <f t="shared" si="2"/>
        <v>-4.824075796360164</v>
      </c>
      <c r="AP75" s="74">
        <f t="shared" si="3"/>
        <v>91.81920732457394</v>
      </c>
      <c r="AQ75" s="74">
        <f t="shared" si="4"/>
        <v>39.849898885861364</v>
      </c>
      <c r="AR75" s="75">
        <f t="shared" si="4"/>
        <v>89.76673482599023</v>
      </c>
    </row>
    <row r="76" spans="2:44" ht="27.75">
      <c r="B76" s="30" t="s">
        <v>117</v>
      </c>
      <c r="C76" s="31" t="s">
        <v>3</v>
      </c>
      <c r="D76" s="12">
        <f>0.5+(4/1.5)*VLOOKUP(D19,T54:X62,3)/2.28</f>
        <v>1.5526315789473684</v>
      </c>
      <c r="E76" s="40" t="s">
        <v>62</v>
      </c>
      <c r="R76" s="29"/>
      <c r="S76" s="29"/>
      <c r="T76" s="29"/>
      <c r="U76" s="29"/>
      <c r="V76" s="29"/>
      <c r="W76" s="29"/>
      <c r="X76" s="29"/>
      <c r="Y76" s="29"/>
      <c r="Z76" s="29"/>
      <c r="AA76" s="29"/>
      <c r="AL76" s="73">
        <v>0.11220184543019567</v>
      </c>
      <c r="AM76" s="74">
        <f t="shared" si="0"/>
        <v>44.672533992885974</v>
      </c>
      <c r="AN76" s="75">
        <f t="shared" si="1"/>
        <v>-2.302657336190722</v>
      </c>
      <c r="AO76" s="74">
        <f t="shared" si="2"/>
        <v>-5.822521312742275</v>
      </c>
      <c r="AP76" s="74">
        <f t="shared" si="3"/>
        <v>92.04088893557633</v>
      </c>
      <c r="AQ76" s="74">
        <f t="shared" si="4"/>
        <v>38.8500126801437</v>
      </c>
      <c r="AR76" s="75">
        <f t="shared" si="4"/>
        <v>89.73823159938561</v>
      </c>
    </row>
    <row r="77" spans="18:44" ht="27.75">
      <c r="R77" s="29"/>
      <c r="S77" s="29"/>
      <c r="T77" s="29"/>
      <c r="U77" s="29"/>
      <c r="V77" s="29"/>
      <c r="W77" s="29"/>
      <c r="X77" s="29"/>
      <c r="Y77" s="29"/>
      <c r="Z77" s="29"/>
      <c r="AA77" s="29"/>
      <c r="AL77" s="73">
        <v>0.12589254117941595</v>
      </c>
      <c r="AM77" s="74">
        <f t="shared" si="0"/>
        <v>44.67072095176743</v>
      </c>
      <c r="AN77" s="75">
        <f t="shared" si="1"/>
        <v>-2.583264435886035</v>
      </c>
      <c r="AO77" s="74">
        <f t="shared" si="2"/>
        <v>-6.820565164818412</v>
      </c>
      <c r="AP77" s="74">
        <f t="shared" si="3"/>
        <v>92.28949819859443</v>
      </c>
      <c r="AQ77" s="74">
        <f t="shared" si="4"/>
        <v>37.85015578694902</v>
      </c>
      <c r="AR77" s="75">
        <f t="shared" si="4"/>
        <v>89.7062337627084</v>
      </c>
    </row>
    <row r="78" spans="2:44" ht="27.75">
      <c r="B78" s="41" t="s">
        <v>63</v>
      </c>
      <c r="R78" s="29"/>
      <c r="S78" s="29"/>
      <c r="T78" s="29"/>
      <c r="U78" s="29"/>
      <c r="V78" s="29"/>
      <c r="W78" s="29"/>
      <c r="X78" s="29"/>
      <c r="Y78" s="29"/>
      <c r="Z78" s="29"/>
      <c r="AA78" s="29"/>
      <c r="AL78" s="73">
        <v>0.14125375446227456</v>
      </c>
      <c r="AM78" s="74">
        <f t="shared" si="0"/>
        <v>44.66843954392865</v>
      </c>
      <c r="AN78" s="75">
        <f t="shared" si="1"/>
        <v>-2.8979627233613994</v>
      </c>
      <c r="AO78" s="74">
        <f t="shared" si="2"/>
        <v>-7.818103836303607</v>
      </c>
      <c r="AP78" s="74">
        <f t="shared" si="3"/>
        <v>92.56827078304542</v>
      </c>
      <c r="AQ78" s="74">
        <f t="shared" si="4"/>
        <v>36.85033570762504</v>
      </c>
      <c r="AR78" s="75">
        <f t="shared" si="4"/>
        <v>89.67030805968402</v>
      </c>
    </row>
    <row r="79" spans="2:44" ht="27.75">
      <c r="B79" s="30" t="s">
        <v>118</v>
      </c>
      <c r="C79" s="31" t="s">
        <v>3</v>
      </c>
      <c r="D79" s="11">
        <f>0.625*(D34+D36)/D34</f>
        <v>99.69907407407408</v>
      </c>
      <c r="E79" s="40" t="s">
        <v>66</v>
      </c>
      <c r="R79" s="29"/>
      <c r="S79" s="29"/>
      <c r="T79" s="29"/>
      <c r="U79" s="29"/>
      <c r="V79" s="29"/>
      <c r="W79" s="29"/>
      <c r="X79" s="29"/>
      <c r="Y79" s="29"/>
      <c r="Z79" s="29"/>
      <c r="AA79" s="29"/>
      <c r="AL79" s="73">
        <v>0.1584893192461104</v>
      </c>
      <c r="AM79" s="74">
        <f t="shared" si="0"/>
        <v>44.665569124670334</v>
      </c>
      <c r="AN79" s="75">
        <f t="shared" si="1"/>
        <v>-3.250851096666836</v>
      </c>
      <c r="AO79" s="74">
        <f t="shared" si="2"/>
        <v>-8.81500729025032</v>
      </c>
      <c r="AP79" s="74">
        <f t="shared" si="3"/>
        <v>92.88081666776293</v>
      </c>
      <c r="AQ79" s="74">
        <f t="shared" si="4"/>
        <v>35.85056183442001</v>
      </c>
      <c r="AR79" s="75">
        <f t="shared" si="4"/>
        <v>89.6299655710961</v>
      </c>
    </row>
    <row r="80" spans="2:44" ht="27.75">
      <c r="B80" s="30" t="s">
        <v>119</v>
      </c>
      <c r="C80" s="31" t="s">
        <v>3</v>
      </c>
      <c r="D80" s="11">
        <f>0.3*(D36+D34)/D34</f>
        <v>47.855555555555554</v>
      </c>
      <c r="E80" s="40" t="s">
        <v>67</v>
      </c>
      <c r="R80" s="29"/>
      <c r="S80" s="29"/>
      <c r="T80" s="29"/>
      <c r="U80" s="29"/>
      <c r="V80" s="29"/>
      <c r="W80" s="29"/>
      <c r="X80" s="29"/>
      <c r="Y80" s="29"/>
      <c r="Z80" s="29"/>
      <c r="AA80" s="29"/>
      <c r="AL80" s="73">
        <v>0.17782794100389127</v>
      </c>
      <c r="AM80" s="74">
        <f t="shared" si="0"/>
        <v>44.661958176438944</v>
      </c>
      <c r="AN80" s="75">
        <f t="shared" si="1"/>
        <v>-3.6465036625085405</v>
      </c>
      <c r="AO80" s="74">
        <f t="shared" si="2"/>
        <v>-9.811112266093616</v>
      </c>
      <c r="AP80" s="74">
        <f t="shared" si="3"/>
        <v>93.23115745281288</v>
      </c>
      <c r="AQ80" s="74">
        <f t="shared" si="4"/>
        <v>34.85084591034533</v>
      </c>
      <c r="AR80" s="75">
        <f t="shared" si="4"/>
        <v>89.58465379030434</v>
      </c>
    </row>
    <row r="81" spans="18:44" ht="27.75">
      <c r="R81" s="29"/>
      <c r="S81" s="29"/>
      <c r="T81" s="29"/>
      <c r="U81" s="29"/>
      <c r="V81" s="29"/>
      <c r="W81" s="29"/>
      <c r="X81" s="29"/>
      <c r="Y81" s="29"/>
      <c r="Z81" s="29"/>
      <c r="AA81" s="29"/>
      <c r="AL81" s="73">
        <v>0.19952623149688684</v>
      </c>
      <c r="AM81" s="74">
        <f t="shared" si="0"/>
        <v>44.657416526830886</v>
      </c>
      <c r="AN81" s="75">
        <f t="shared" si="1"/>
        <v>-4.090017568483778</v>
      </c>
      <c r="AO81" s="74">
        <f t="shared" si="2"/>
        <v>-10.806213935804045</v>
      </c>
      <c r="AP81" s="74">
        <f t="shared" si="3"/>
        <v>93.62376484966498</v>
      </c>
      <c r="AQ81" s="74">
        <f t="shared" si="4"/>
        <v>33.85120259102684</v>
      </c>
      <c r="AR81" s="75">
        <f t="shared" si="4"/>
        <v>89.5337472811812</v>
      </c>
    </row>
    <row r="82" spans="2:44" ht="27.75">
      <c r="B82" s="41" t="s">
        <v>64</v>
      </c>
      <c r="R82" s="29"/>
      <c r="S82" s="29"/>
      <c r="T82" s="29"/>
      <c r="U82" s="29"/>
      <c r="V82" s="29"/>
      <c r="W82" s="29"/>
      <c r="X82" s="29"/>
      <c r="Y82" s="29"/>
      <c r="Z82" s="29"/>
      <c r="AA82" s="29"/>
      <c r="AL82" s="73">
        <v>0.22387211385683273</v>
      </c>
      <c r="AM82" s="74">
        <f t="shared" si="0"/>
        <v>44.65170567373879</v>
      </c>
      <c r="AN82" s="75">
        <f t="shared" si="1"/>
        <v>-4.5870625865542864</v>
      </c>
      <c r="AO82" s="74">
        <f t="shared" si="2"/>
        <v>-11.800055548470311</v>
      </c>
      <c r="AP82" s="74">
        <f t="shared" si="3"/>
        <v>94.06359915879254</v>
      </c>
      <c r="AQ82" s="74">
        <f t="shared" si="4"/>
        <v>32.85165012526848</v>
      </c>
      <c r="AR82" s="75">
        <f t="shared" si="4"/>
        <v>89.47653657223826</v>
      </c>
    </row>
    <row r="83" spans="2:44" ht="27.75">
      <c r="B83" s="30" t="s">
        <v>120</v>
      </c>
      <c r="C83" s="31" t="s">
        <v>3</v>
      </c>
      <c r="D83" s="11">
        <f>3.175*((D41+D39)/D39)*D31</f>
        <v>464.70454545454544</v>
      </c>
      <c r="E83" s="40" t="s">
        <v>68</v>
      </c>
      <c r="R83" s="29"/>
      <c r="S83" s="29"/>
      <c r="T83" s="29"/>
      <c r="U83" s="29"/>
      <c r="V83" s="29"/>
      <c r="W83" s="29"/>
      <c r="X83" s="29"/>
      <c r="Y83" s="29"/>
      <c r="Z83" s="29"/>
      <c r="AA83" s="29"/>
      <c r="AL83" s="73">
        <v>0.2511886431509567</v>
      </c>
      <c r="AM83" s="74">
        <f t="shared" si="0"/>
        <v>44.644526797212116</v>
      </c>
      <c r="AN83" s="75">
        <f t="shared" si="1"/>
        <v>-5.143931054897196</v>
      </c>
      <c r="AO83" s="74">
        <f t="shared" si="2"/>
        <v>-12.79231562719472</v>
      </c>
      <c r="AP83" s="74">
        <f t="shared" si="3"/>
        <v>94.55614589142488</v>
      </c>
      <c r="AQ83" s="74">
        <f t="shared" si="4"/>
        <v>31.852211170017398</v>
      </c>
      <c r="AR83" s="75">
        <f t="shared" si="4"/>
        <v>89.41221483652768</v>
      </c>
    </row>
    <row r="84" spans="2:44" ht="27.75">
      <c r="B84" s="30" t="s">
        <v>121</v>
      </c>
      <c r="C84" s="31" t="s">
        <v>3</v>
      </c>
      <c r="D84" s="11">
        <f>3.093*((D41+D39)/D39)*D31</f>
        <v>452.70272727272726</v>
      </c>
      <c r="E84" s="40" t="s">
        <v>69</v>
      </c>
      <c r="R84" s="29"/>
      <c r="S84" s="29"/>
      <c r="T84" s="29"/>
      <c r="U84" s="29"/>
      <c r="V84" s="29"/>
      <c r="W84" s="29"/>
      <c r="X84" s="29"/>
      <c r="Y84" s="29"/>
      <c r="Z84" s="29"/>
      <c r="AA84" s="29"/>
      <c r="AL84" s="73">
        <v>0.2818382931264439</v>
      </c>
      <c r="AM84" s="74">
        <f t="shared" si="0"/>
        <v>44.635505967808015</v>
      </c>
      <c r="AN84" s="75">
        <f t="shared" si="1"/>
        <v>-5.767586012208244</v>
      </c>
      <c r="AO84" s="74">
        <f t="shared" si="2"/>
        <v>-13.78259221654169</v>
      </c>
      <c r="AP84" s="74">
        <f t="shared" si="3"/>
        <v>95.1074477837125</v>
      </c>
      <c r="AQ84" s="74">
        <f t="shared" si="4"/>
        <v>30.852913751266325</v>
      </c>
      <c r="AR84" s="75">
        <f t="shared" si="4"/>
        <v>89.33986177150426</v>
      </c>
    </row>
    <row r="85" spans="18:44" ht="27.75">
      <c r="R85" s="29"/>
      <c r="S85" s="29"/>
      <c r="T85" s="29"/>
      <c r="U85" s="29"/>
      <c r="V85" s="29"/>
      <c r="W85" s="29"/>
      <c r="X85" s="29"/>
      <c r="Y85" s="29"/>
      <c r="Z85" s="29"/>
      <c r="AA85" s="29"/>
      <c r="AL85" s="73">
        <v>0.3162277660168363</v>
      </c>
      <c r="AM85" s="74">
        <f t="shared" si="0"/>
        <v>44.62417599455555</v>
      </c>
      <c r="AN85" s="75">
        <f t="shared" si="1"/>
        <v>-6.465704286781026</v>
      </c>
      <c r="AO85" s="74">
        <f t="shared" si="2"/>
        <v>-14.77038362159944</v>
      </c>
      <c r="AP85" s="74">
        <f t="shared" si="3"/>
        <v>95.72412820679413</v>
      </c>
      <c r="AQ85" s="74">
        <f t="shared" si="4"/>
        <v>29.85379237295611</v>
      </c>
      <c r="AR85" s="75">
        <f t="shared" si="4"/>
        <v>89.25842392001312</v>
      </c>
    </row>
    <row r="86" spans="2:44" ht="27.75">
      <c r="B86" s="41" t="s">
        <v>65</v>
      </c>
      <c r="R86" s="29"/>
      <c r="S86" s="29"/>
      <c r="T86" s="29"/>
      <c r="U86" s="29"/>
      <c r="V86" s="29"/>
      <c r="W86" s="29"/>
      <c r="X86" s="29"/>
      <c r="Y86" s="29"/>
      <c r="Z86" s="29"/>
      <c r="AA86" s="29"/>
      <c r="AL86" s="73">
        <v>0.3548133892335736</v>
      </c>
      <c r="AM86" s="74">
        <f t="shared" si="0"/>
        <v>44.609954303811776</v>
      </c>
      <c r="AN86" s="75">
        <f t="shared" si="1"/>
        <v>-7.246709843722057</v>
      </c>
      <c r="AO86" s="74">
        <f t="shared" si="2"/>
        <v>-15.755065046004395</v>
      </c>
      <c r="AP86" s="74">
        <f t="shared" si="3"/>
        <v>96.4134003018005</v>
      </c>
      <c r="AQ86" s="74">
        <f t="shared" si="4"/>
        <v>28.85488925780738</v>
      </c>
      <c r="AR86" s="75">
        <f t="shared" si="4"/>
        <v>89.16669045807843</v>
      </c>
    </row>
    <row r="87" spans="2:44" ht="27.75">
      <c r="B87" s="30" t="s">
        <v>122</v>
      </c>
      <c r="C87" s="31" t="s">
        <v>129</v>
      </c>
      <c r="D87" s="11">
        <f>500/D28</f>
        <v>94.47931400282884</v>
      </c>
      <c r="E87" s="40" t="s">
        <v>73</v>
      </c>
      <c r="R87" s="29"/>
      <c r="S87" s="29"/>
      <c r="T87" s="29"/>
      <c r="U87" s="29"/>
      <c r="V87" s="29"/>
      <c r="W87" s="29"/>
      <c r="X87" s="29"/>
      <c r="Y87" s="29"/>
      <c r="Z87" s="29"/>
      <c r="AA87" s="29"/>
      <c r="AL87" s="73">
        <v>0.39810717055349515</v>
      </c>
      <c r="AM87" s="74">
        <f t="shared" si="0"/>
        <v>44.592116222851786</v>
      </c>
      <c r="AN87" s="75">
        <f t="shared" si="1"/>
        <v>-8.119790748965979</v>
      </c>
      <c r="AO87" s="74">
        <f t="shared" si="2"/>
        <v>-16.73586055051654</v>
      </c>
      <c r="AP87" s="74">
        <f t="shared" si="3"/>
        <v>97.18305396606932</v>
      </c>
      <c r="AQ87" s="74">
        <f t="shared" si="4"/>
        <v>27.856255672335244</v>
      </c>
      <c r="AR87" s="75">
        <f t="shared" si="4"/>
        <v>89.06326321710334</v>
      </c>
    </row>
    <row r="88" spans="2:44" ht="27.75">
      <c r="B88" s="30" t="s">
        <v>123</v>
      </c>
      <c r="C88" s="31" t="s">
        <v>129</v>
      </c>
      <c r="D88" s="2">
        <v>80</v>
      </c>
      <c r="E88" s="40" t="s">
        <v>70</v>
      </c>
      <c r="Q88" s="38" t="str">
        <f>IF(D88&gt;D87,"Select a lower Rsense value"," ")</f>
        <v> </v>
      </c>
      <c r="R88" s="29"/>
      <c r="S88" s="29"/>
      <c r="T88" s="29"/>
      <c r="U88" s="29"/>
      <c r="V88" s="29"/>
      <c r="W88" s="29"/>
      <c r="X88" s="29"/>
      <c r="Y88" s="29"/>
      <c r="Z88" s="29"/>
      <c r="AA88" s="29"/>
      <c r="AL88" s="73">
        <v>0.44668359215096076</v>
      </c>
      <c r="AM88" s="74">
        <f t="shared" si="0"/>
        <v>44.56976309017362</v>
      </c>
      <c r="AN88" s="75">
        <f t="shared" si="1"/>
        <v>-9.094890583086618</v>
      </c>
      <c r="AO88" s="74">
        <f t="shared" si="2"/>
        <v>-17.711809853918435</v>
      </c>
      <c r="AP88" s="74">
        <f t="shared" si="3"/>
        <v>98.04141000096726</v>
      </c>
      <c r="AQ88" s="74">
        <f t="shared" si="4"/>
        <v>26.857953236255188</v>
      </c>
      <c r="AR88" s="75">
        <f t="shared" si="4"/>
        <v>88.94651941788064</v>
      </c>
    </row>
    <row r="89" spans="17:44" ht="27.75">
      <c r="Q89" s="38" t="str">
        <f>IF(D88&lt;D87/2,"Select a higher Rsense value"," ")</f>
        <v> </v>
      </c>
      <c r="R89" s="29"/>
      <c r="S89" s="29"/>
      <c r="T89" s="29"/>
      <c r="U89" s="29"/>
      <c r="V89" s="29"/>
      <c r="W89" s="29"/>
      <c r="X89" s="29"/>
      <c r="Y89" s="29"/>
      <c r="Z89" s="29"/>
      <c r="AA89" s="29"/>
      <c r="AL89" s="73">
        <v>0.5011872336272697</v>
      </c>
      <c r="AM89" s="74">
        <f t="shared" si="0"/>
        <v>44.54178477540343</v>
      </c>
      <c r="AN89" s="75">
        <f t="shared" si="1"/>
        <v>-10.182661967648258</v>
      </c>
      <c r="AO89" s="74">
        <f t="shared" si="2"/>
        <v>-18.681729740312576</v>
      </c>
      <c r="AP89" s="74">
        <f t="shared" si="3"/>
        <v>98.99722726972672</v>
      </c>
      <c r="AQ89" s="74">
        <f t="shared" si="4"/>
        <v>25.860055035090852</v>
      </c>
      <c r="AR89" s="75">
        <f t="shared" si="4"/>
        <v>88.81456530207846</v>
      </c>
    </row>
    <row r="90" spans="2:44" ht="27.75">
      <c r="B90" s="41" t="s">
        <v>15</v>
      </c>
      <c r="R90" s="29"/>
      <c r="S90" s="29"/>
      <c r="T90" s="29"/>
      <c r="U90" s="29"/>
      <c r="V90" s="29"/>
      <c r="W90" s="29"/>
      <c r="X90" s="29"/>
      <c r="Y90" s="29"/>
      <c r="Z90" s="29"/>
      <c r="AA90" s="29"/>
      <c r="AL90" s="73">
        <v>0.5623413251903462</v>
      </c>
      <c r="AM90" s="74">
        <f t="shared" si="0"/>
        <v>44.506816533173115</v>
      </c>
      <c r="AN90" s="75">
        <f t="shared" si="1"/>
        <v>-11.39436607304339</v>
      </c>
      <c r="AO90" s="74">
        <f t="shared" si="2"/>
        <v>-19.644170299884703</v>
      </c>
      <c r="AP90" s="74">
        <f t="shared" si="3"/>
        <v>100.05954469231683</v>
      </c>
      <c r="AQ90" s="74">
        <f t="shared" si="4"/>
        <v>24.862646233288412</v>
      </c>
      <c r="AR90" s="75">
        <f t="shared" si="4"/>
        <v>88.66517861927345</v>
      </c>
    </row>
    <row r="91" spans="2:44" ht="27.75">
      <c r="B91" s="30" t="s">
        <v>131</v>
      </c>
      <c r="C91" s="31" t="s">
        <v>5</v>
      </c>
      <c r="D91" s="10">
        <f>(1.8/D7)*D11/(D10/100)</f>
        <v>3.368421052631579</v>
      </c>
      <c r="E91" s="40" t="s">
        <v>132</v>
      </c>
      <c r="R91" s="29"/>
      <c r="S91" s="29"/>
      <c r="T91" s="29"/>
      <c r="U91" s="29"/>
      <c r="V91" s="29"/>
      <c r="W91" s="29"/>
      <c r="X91" s="29"/>
      <c r="Y91" s="29"/>
      <c r="Z91" s="29"/>
      <c r="AA91" s="29"/>
      <c r="AL91" s="73">
        <v>0.6309573444801899</v>
      </c>
      <c r="AM91" s="74">
        <f t="shared" si="0"/>
        <v>44.46319072887956</v>
      </c>
      <c r="AN91" s="75">
        <f t="shared" si="1"/>
        <v>-12.741697754995943</v>
      </c>
      <c r="AO91" s="74">
        <f t="shared" si="2"/>
        <v>-20.597367016186563</v>
      </c>
      <c r="AP91" s="74">
        <f t="shared" si="3"/>
        <v>101.23743564046845</v>
      </c>
      <c r="AQ91" s="74">
        <f t="shared" si="4"/>
        <v>23.865823712692997</v>
      </c>
      <c r="AR91" s="75">
        <f t="shared" si="4"/>
        <v>88.49573788547251</v>
      </c>
    </row>
    <row r="92" spans="2:44" ht="27.75">
      <c r="B92" s="30" t="s">
        <v>133</v>
      </c>
      <c r="C92" s="31" t="s">
        <v>5</v>
      </c>
      <c r="D92" s="10">
        <f>2.667*D12*((100*D11/D10/D7)^2)*(1-(1.201*D7/D9))</f>
        <v>1.6877831032822725</v>
      </c>
      <c r="E92" s="40" t="s">
        <v>134</v>
      </c>
      <c r="R92" s="29"/>
      <c r="S92" s="29"/>
      <c r="T92" s="29"/>
      <c r="U92" s="29"/>
      <c r="V92" s="29"/>
      <c r="W92" s="29"/>
      <c r="X92" s="29"/>
      <c r="Y92" s="29"/>
      <c r="Z92" s="29"/>
      <c r="AA92" s="29"/>
      <c r="AL92" s="73">
        <v>0.7079457843841341</v>
      </c>
      <c r="AM92" s="74">
        <f t="shared" si="0"/>
        <v>44.40888497271202</v>
      </c>
      <c r="AN92" s="75">
        <f t="shared" si="1"/>
        <v>-14.236511826072642</v>
      </c>
      <c r="AO92" s="74">
        <f t="shared" si="2"/>
        <v>-21.539190941575608</v>
      </c>
      <c r="AP92" s="74">
        <f t="shared" si="3"/>
        <v>102.53964849947444</v>
      </c>
      <c r="AQ92" s="74">
        <f t="shared" si="4"/>
        <v>22.869694031136415</v>
      </c>
      <c r="AR92" s="75">
        <f t="shared" si="4"/>
        <v>88.3031366734018</v>
      </c>
    </row>
    <row r="93" spans="2:44" ht="27.75">
      <c r="B93" s="30" t="s">
        <v>135</v>
      </c>
      <c r="C93" s="31" t="s">
        <v>5</v>
      </c>
      <c r="D93" s="10">
        <f>(D11/D9)*1</f>
        <v>0.41025641025641024</v>
      </c>
      <c r="E93" s="40" t="s">
        <v>136</v>
      </c>
      <c r="R93" s="29"/>
      <c r="S93" s="29"/>
      <c r="T93" s="29"/>
      <c r="U93" s="29"/>
      <c r="V93" s="29"/>
      <c r="W93" s="29"/>
      <c r="X93" s="29"/>
      <c r="Y93" s="29"/>
      <c r="Z93" s="29"/>
      <c r="AA93" s="29"/>
      <c r="AL93" s="73">
        <v>0.7943282347242773</v>
      </c>
      <c r="AM93" s="74">
        <f t="shared" si="0"/>
        <v>44.34146970196582</v>
      </c>
      <c r="AN93" s="75">
        <f t="shared" si="1"/>
        <v>-15.890422921891599</v>
      </c>
      <c r="AO93" s="74">
        <f t="shared" si="2"/>
        <v>-22.467100988186225</v>
      </c>
      <c r="AP93" s="74">
        <f t="shared" si="3"/>
        <v>103.97410514702405</v>
      </c>
      <c r="AQ93" s="74">
        <f t="shared" si="4"/>
        <v>21.874368713779596</v>
      </c>
      <c r="AR93" s="75">
        <f t="shared" si="4"/>
        <v>88.08368222513245</v>
      </c>
    </row>
    <row r="94" spans="2:44" ht="27.75">
      <c r="B94" s="30" t="s">
        <v>137</v>
      </c>
      <c r="C94" s="31" t="s">
        <v>5</v>
      </c>
      <c r="D94" s="10">
        <f>1.333*D88*0.001*((100*D11/D10/D7)^2)*(1-(1.201*D7/D9))</f>
        <v>0.26994404219575785</v>
      </c>
      <c r="E94" s="40" t="s">
        <v>138</v>
      </c>
      <c r="R94" s="29"/>
      <c r="S94" s="29"/>
      <c r="T94" s="29"/>
      <c r="U94" s="29"/>
      <c r="V94" s="29"/>
      <c r="W94" s="29"/>
      <c r="X94" s="29"/>
      <c r="Y94" s="29"/>
      <c r="Z94" s="29"/>
      <c r="AA94" s="29"/>
      <c r="AL94" s="73">
        <v>0.8912509381337408</v>
      </c>
      <c r="AM94" s="74">
        <f t="shared" si="0"/>
        <v>44.258060351810315</v>
      </c>
      <c r="AN94" s="75">
        <f t="shared" si="1"/>
        <v>-17.71425120681028</v>
      </c>
      <c r="AO94" s="74">
        <f t="shared" si="2"/>
        <v>-23.378104764302112</v>
      </c>
      <c r="AP94" s="74">
        <f t="shared" si="3"/>
        <v>105.54723099132838</v>
      </c>
      <c r="AQ94" s="74">
        <f t="shared" si="4"/>
        <v>20.879955587508203</v>
      </c>
      <c r="AR94" s="75">
        <f t="shared" si="4"/>
        <v>87.8329797845181</v>
      </c>
    </row>
    <row r="95" spans="2:44" ht="27.75">
      <c r="B95" s="30" t="s">
        <v>139</v>
      </c>
      <c r="C95" s="31" t="s">
        <v>12</v>
      </c>
      <c r="D95" s="9">
        <f>0</f>
        <v>0</v>
      </c>
      <c r="E95" s="40" t="s">
        <v>140</v>
      </c>
      <c r="R95" s="29"/>
      <c r="S95" s="29"/>
      <c r="T95" s="29"/>
      <c r="U95" s="29"/>
      <c r="V95" s="29"/>
      <c r="W95" s="29"/>
      <c r="X95" s="29"/>
      <c r="Y95" s="29"/>
      <c r="Z95" s="29"/>
      <c r="AA95" s="29"/>
      <c r="AL95" s="73">
        <v>0.9999999999999947</v>
      </c>
      <c r="AM95" s="74">
        <f t="shared" si="0"/>
        <v>44.15528194299533</v>
      </c>
      <c r="AN95" s="75">
        <f t="shared" si="1"/>
        <v>-19.717291410098355</v>
      </c>
      <c r="AO95" s="74">
        <f t="shared" si="2"/>
        <v>-24.268737320204668</v>
      </c>
      <c r="AP95" s="74">
        <f t="shared" si="3"/>
        <v>107.26309905056166</v>
      </c>
      <c r="AQ95" s="74">
        <f t="shared" si="4"/>
        <v>19.886544622790662</v>
      </c>
      <c r="AR95" s="75">
        <f t="shared" si="4"/>
        <v>87.54580764046331</v>
      </c>
    </row>
    <row r="96" spans="18:44" ht="27.75">
      <c r="R96" s="29"/>
      <c r="S96" s="29"/>
      <c r="T96" s="29"/>
      <c r="U96" s="29"/>
      <c r="V96" s="29"/>
      <c r="W96" s="29"/>
      <c r="X96" s="29"/>
      <c r="Y96" s="29"/>
      <c r="Z96" s="29"/>
      <c r="AA96" s="29"/>
      <c r="AL96" s="73">
        <v>1.1220184543019576</v>
      </c>
      <c r="AM96" s="74">
        <f t="shared" si="0"/>
        <v>44.029256968655545</v>
      </c>
      <c r="AN96" s="75">
        <f t="shared" si="1"/>
        <v>-21.90639684682487</v>
      </c>
      <c r="AO96" s="74">
        <f t="shared" si="2"/>
        <v>-25.1350702704998</v>
      </c>
      <c r="AP96" s="74">
        <f t="shared" si="3"/>
        <v>109.12239003776718</v>
      </c>
      <c r="AQ96" s="74">
        <f t="shared" si="4"/>
        <v>18.894186698155746</v>
      </c>
      <c r="AR96" s="75">
        <f t="shared" si="4"/>
        <v>87.2159931909423</v>
      </c>
    </row>
    <row r="97" spans="18:44" ht="27.75">
      <c r="R97" s="29"/>
      <c r="S97" s="29"/>
      <c r="T97" s="29"/>
      <c r="U97" s="29"/>
      <c r="V97" s="29"/>
      <c r="W97" s="29"/>
      <c r="X97" s="29"/>
      <c r="Y97" s="29"/>
      <c r="Z97" s="29"/>
      <c r="AA97" s="29"/>
      <c r="AL97" s="73">
        <v>1.2589254117941606</v>
      </c>
      <c r="AM97" s="74">
        <f t="shared" si="0"/>
        <v>43.87563029409623</v>
      </c>
      <c r="AN97" s="75">
        <f t="shared" si="1"/>
        <v>-24.2848968366192</v>
      </c>
      <c r="AO97" s="74">
        <f t="shared" si="2"/>
        <v>-25.97276623737109</v>
      </c>
      <c r="AP97" s="74">
        <f t="shared" si="3"/>
        <v>111.1212039300147</v>
      </c>
      <c r="AQ97" s="74">
        <f t="shared" si="4"/>
        <v>17.902864056725143</v>
      </c>
      <c r="AR97" s="75">
        <f t="shared" si="4"/>
        <v>86.8363070933955</v>
      </c>
    </row>
    <row r="98" spans="18:44" ht="27.75">
      <c r="R98" s="29"/>
      <c r="S98" s="29"/>
      <c r="T98" s="29"/>
      <c r="U98" s="29"/>
      <c r="V98" s="29"/>
      <c r="W98" s="29"/>
      <c r="X98" s="29"/>
      <c r="Y98" s="29"/>
      <c r="Z98" s="29"/>
      <c r="AA98" s="29"/>
      <c r="AL98" s="73">
        <v>1.412537544622747</v>
      </c>
      <c r="AM98" s="74">
        <f t="shared" si="0"/>
        <v>43.68964630686136</v>
      </c>
      <c r="AN98" s="75">
        <f t="shared" si="1"/>
        <v>-26.851407670205973</v>
      </c>
      <c r="AO98" s="74">
        <f t="shared" si="2"/>
        <v>-26.777194090788637</v>
      </c>
      <c r="AP98" s="74">
        <f t="shared" si="3"/>
        <v>113.24980712147709</v>
      </c>
      <c r="AQ98" s="74">
        <f t="shared" si="4"/>
        <v>16.912452216072726</v>
      </c>
      <c r="AR98" s="75">
        <f t="shared" si="4"/>
        <v>86.39839945127112</v>
      </c>
    </row>
    <row r="99" spans="18:44" ht="27.75">
      <c r="R99" s="29"/>
      <c r="S99" s="29"/>
      <c r="T99" s="29"/>
      <c r="U99" s="29"/>
      <c r="V99" s="29"/>
      <c r="W99" s="29"/>
      <c r="X99" s="29"/>
      <c r="Y99" s="29"/>
      <c r="Z99" s="29"/>
      <c r="AA99" s="29"/>
      <c r="AL99" s="73">
        <v>1.5848931924611052</v>
      </c>
      <c r="AM99" s="74">
        <f t="shared" si="0"/>
        <v>43.46629218420128</v>
      </c>
      <c r="AN99" s="75">
        <f t="shared" si="1"/>
        <v>-29.59865242682754</v>
      </c>
      <c r="AO99" s="74">
        <f t="shared" si="2"/>
        <v>-27.543617315837327</v>
      </c>
      <c r="AP99" s="74">
        <f t="shared" si="3"/>
        <v>115.49145868522905</v>
      </c>
      <c r="AQ99" s="74">
        <f t="shared" si="4"/>
        <v>15.922674868363952</v>
      </c>
      <c r="AR99" s="75">
        <f t="shared" si="4"/>
        <v>85.8928062584015</v>
      </c>
    </row>
    <row r="100" spans="18:44" ht="27.75">
      <c r="R100" s="29"/>
      <c r="S100" s="29"/>
      <c r="T100" s="29"/>
      <c r="U100" s="29"/>
      <c r="V100" s="29"/>
      <c r="W100" s="29"/>
      <c r="X100" s="29"/>
      <c r="Y100" s="29"/>
      <c r="Z100" s="29"/>
      <c r="AA100" s="29"/>
      <c r="AL100" s="73">
        <v>1.7782794100389137</v>
      </c>
      <c r="AM100" s="74">
        <f aca="true" t="shared" si="5" ref="AM100:AM163">20*LOG10(D$62/SQRT(1+(AL100/D$58)^2))</f>
        <v>43.200515115965615</v>
      </c>
      <c r="AN100" s="75">
        <f aca="true" t="shared" si="6" ref="AN100:AN163">-(180/3.14)*ATAN(AL100/D$58)</f>
        <v>-32.51246469120409</v>
      </c>
      <c r="AO100" s="74">
        <f aca="true" t="shared" si="7" ref="AO100:AO163">-20*LOG10(AL100/D$59)+20*LOG10(SQRT(1+(AL100/D$60)^2))-20*LOG10(SQRT(1+(AL100/D$61)^2))</f>
        <v>-28.267459388130714</v>
      </c>
      <c r="AP100" s="74">
        <f aca="true" t="shared" si="8" ref="AP100:AP163">-90+(180/3.14)*ATAN(AL100/D$60)-(180/3.14)*ATAN(AL100/D$61)+180</f>
        <v>117.8215166651766</v>
      </c>
      <c r="AQ100" s="74">
        <f aca="true" t="shared" si="9" ref="AQ100:AR163">AM100+AO100</f>
        <v>14.933055727834901</v>
      </c>
      <c r="AR100" s="75">
        <f t="shared" si="9"/>
        <v>85.30905197397252</v>
      </c>
    </row>
    <row r="101" spans="18:44" ht="27.75">
      <c r="R101" s="29"/>
      <c r="S101" s="29"/>
      <c r="T101" s="29"/>
      <c r="U101" s="29"/>
      <c r="V101" s="29"/>
      <c r="W101" s="29"/>
      <c r="X101" s="29"/>
      <c r="Y101" s="29"/>
      <c r="Z101" s="29"/>
      <c r="AA101" s="29"/>
      <c r="AL101" s="73">
        <v>1.9952623149688693</v>
      </c>
      <c r="AM101" s="74">
        <f t="shared" si="5"/>
        <v>42.887509486865326</v>
      </c>
      <c r="AN101" s="75">
        <f t="shared" si="6"/>
        <v>-35.57119721128811</v>
      </c>
      <c r="AO101" s="74">
        <f t="shared" si="7"/>
        <v>-28.944635775684898</v>
      </c>
      <c r="AP101" s="74">
        <f t="shared" si="8"/>
        <v>120.20705846163503</v>
      </c>
      <c r="AQ101" s="74">
        <f t="shared" si="9"/>
        <v>13.942873711180429</v>
      </c>
      <c r="AR101" s="75">
        <f t="shared" si="9"/>
        <v>84.63586125034692</v>
      </c>
    </row>
    <row r="102" spans="18:44" ht="27.75">
      <c r="R102" s="29"/>
      <c r="S102" s="29"/>
      <c r="T102" s="29"/>
      <c r="U102" s="29"/>
      <c r="V102" s="29"/>
      <c r="W102" s="29"/>
      <c r="X102" s="29"/>
      <c r="Y102" s="29"/>
      <c r="Z102" s="29"/>
      <c r="AA102" s="29"/>
      <c r="AL102" s="73">
        <v>2.238721138568328</v>
      </c>
      <c r="AM102" s="74">
        <f t="shared" si="5"/>
        <v>42.523053064520006</v>
      </c>
      <c r="AN102" s="75">
        <f t="shared" si="6"/>
        <v>-38.745762802949095</v>
      </c>
      <c r="AO102" s="74">
        <f t="shared" si="7"/>
        <v>-29.571923960493667</v>
      </c>
      <c r="AP102" s="74">
        <f t="shared" si="8"/>
        <v>122.60723140352688</v>
      </c>
      <c r="AQ102" s="74">
        <f t="shared" si="9"/>
        <v>12.95112910402634</v>
      </c>
      <c r="AR102" s="75">
        <f t="shared" si="9"/>
        <v>83.86146860057778</v>
      </c>
    </row>
    <row r="103" spans="18:44" ht="27.75">
      <c r="R103" s="29"/>
      <c r="S103" s="29"/>
      <c r="T103" s="29"/>
      <c r="U103" s="29"/>
      <c r="V103" s="29"/>
      <c r="W103" s="29"/>
      <c r="X103" s="29"/>
      <c r="Y103" s="29"/>
      <c r="Z103" s="29"/>
      <c r="AA103" s="29"/>
      <c r="AL103" s="73">
        <v>2.511886431509567</v>
      </c>
      <c r="AM103" s="74">
        <f t="shared" si="5"/>
        <v>42.10385273391807</v>
      </c>
      <c r="AN103" s="75">
        <f t="shared" si="6"/>
        <v>-42.00047671044963</v>
      </c>
      <c r="AO103" s="74">
        <f t="shared" si="7"/>
        <v>-30.147325587824607</v>
      </c>
      <c r="AP103" s="74">
        <f t="shared" si="8"/>
        <v>124.97446124209029</v>
      </c>
      <c r="AQ103" s="74">
        <f t="shared" si="9"/>
        <v>11.95652714609346</v>
      </c>
      <c r="AR103" s="75">
        <f t="shared" si="9"/>
        <v>82.97398453164065</v>
      </c>
    </row>
    <row r="104" spans="2:44" ht="36" customHeight="1">
      <c r="B104" s="67" t="s">
        <v>206</v>
      </c>
      <c r="C104" s="20"/>
      <c r="D104" s="20"/>
      <c r="M104" s="20"/>
      <c r="R104" s="29"/>
      <c r="S104" s="29"/>
      <c r="T104" s="29"/>
      <c r="U104" s="29"/>
      <c r="V104" s="29"/>
      <c r="W104" s="29"/>
      <c r="X104" s="29"/>
      <c r="Y104" s="29"/>
      <c r="Z104" s="29"/>
      <c r="AA104" s="29"/>
      <c r="AL104" s="73">
        <v>2.818382931264439</v>
      </c>
      <c r="AM104" s="74">
        <f t="shared" si="5"/>
        <v>41.627846637443604</v>
      </c>
      <c r="AN104" s="75">
        <f t="shared" si="6"/>
        <v>-45.294739225498446</v>
      </c>
      <c r="AO104" s="74">
        <f t="shared" si="7"/>
        <v>-30.670365526541254</v>
      </c>
      <c r="AP104" s="74">
        <f t="shared" si="8"/>
        <v>127.25649203884674</v>
      </c>
      <c r="AQ104" s="74">
        <f t="shared" si="9"/>
        <v>10.95748111090235</v>
      </c>
      <c r="AR104" s="75">
        <f t="shared" si="9"/>
        <v>81.9617528133483</v>
      </c>
    </row>
    <row r="105" spans="2:44" ht="27.75">
      <c r="B105" s="68">
        <v>10</v>
      </c>
      <c r="R105" s="29"/>
      <c r="S105" s="29"/>
      <c r="T105" s="29"/>
      <c r="U105" s="29"/>
      <c r="V105" s="29"/>
      <c r="W105" s="29"/>
      <c r="X105" s="29"/>
      <c r="Y105" s="29"/>
      <c r="Z105" s="29"/>
      <c r="AA105" s="29"/>
      <c r="AL105" s="73">
        <v>3.1622776601683626</v>
      </c>
      <c r="AM105" s="74">
        <f t="shared" si="5"/>
        <v>41.09440776855946</v>
      </c>
      <c r="AN105" s="75">
        <f t="shared" si="6"/>
        <v>-48.585417593455226</v>
      </c>
      <c r="AO105" s="74">
        <f t="shared" si="7"/>
        <v>-31.14227739090912</v>
      </c>
      <c r="AP105" s="74">
        <f t="shared" si="8"/>
        <v>129.39904874195742</v>
      </c>
      <c r="AQ105" s="74">
        <f t="shared" si="9"/>
        <v>9.952130377650345</v>
      </c>
      <c r="AR105" s="75">
        <f t="shared" si="9"/>
        <v>80.8136311485022</v>
      </c>
    </row>
    <row r="106" spans="2:44" ht="27.75">
      <c r="B106" s="68">
        <v>22</v>
      </c>
      <c r="AL106" s="73">
        <v>3.548133892335736</v>
      </c>
      <c r="AM106" s="74">
        <f t="shared" si="5"/>
        <v>40.50440807925127</v>
      </c>
      <c r="AN106" s="75">
        <f t="shared" si="6"/>
        <v>-51.8296115871745</v>
      </c>
      <c r="AO106" s="74">
        <f t="shared" si="7"/>
        <v>-31.56604528213004</v>
      </c>
      <c r="AP106" s="74">
        <f t="shared" si="8"/>
        <v>131.3487666475762</v>
      </c>
      <c r="AQ106" s="74">
        <f t="shared" si="9"/>
        <v>8.93836279712123</v>
      </c>
      <c r="AR106" s="75">
        <f t="shared" si="9"/>
        <v>79.51915506040172</v>
      </c>
    </row>
    <row r="107" spans="2:44" ht="27.75">
      <c r="B107" s="68">
        <v>33</v>
      </c>
      <c r="AL107" s="73">
        <v>3.9810717055349523</v>
      </c>
      <c r="AM107" s="74">
        <f t="shared" si="5"/>
        <v>39.860129606275734</v>
      </c>
      <c r="AN107" s="75">
        <f t="shared" si="6"/>
        <v>-54.987383216478484</v>
      </c>
      <c r="AO107" s="74">
        <f t="shared" si="7"/>
        <v>-31.94630161494883</v>
      </c>
      <c r="AP107" s="74">
        <f t="shared" si="8"/>
        <v>133.05597954777838</v>
      </c>
      <c r="AQ107" s="74">
        <f t="shared" si="9"/>
        <v>7.9138279913269045</v>
      </c>
      <c r="AR107" s="75">
        <f t="shared" si="9"/>
        <v>78.06859633129989</v>
      </c>
    </row>
    <row r="108" spans="2:44" ht="27.75">
      <c r="B108" s="68">
        <v>47</v>
      </c>
      <c r="AL108" s="73">
        <v>4.46683592150961</v>
      </c>
      <c r="AM108" s="74">
        <f t="shared" si="5"/>
        <v>39.165041248867375</v>
      </c>
      <c r="AN108" s="75">
        <f t="shared" si="6"/>
        <v>-58.02404097868654</v>
      </c>
      <c r="AO108" s="74">
        <f t="shared" si="7"/>
        <v>-32.28911031824835</v>
      </c>
      <c r="AP108" s="74">
        <f t="shared" si="8"/>
        <v>134.47702398272168</v>
      </c>
      <c r="AQ108" s="74">
        <f t="shared" si="9"/>
        <v>6.8759309306190275</v>
      </c>
      <c r="AR108" s="75">
        <f t="shared" si="9"/>
        <v>76.45298300403513</v>
      </c>
    </row>
    <row r="109" spans="2:44" ht="27.75">
      <c r="B109" s="68">
        <v>56</v>
      </c>
      <c r="AL109" s="73">
        <v>5.011872336272698</v>
      </c>
      <c r="AM109" s="74">
        <f t="shared" si="5"/>
        <v>38.423485524223395</v>
      </c>
      <c r="AN109" s="75">
        <f t="shared" si="6"/>
        <v>-60.911688608031426</v>
      </c>
      <c r="AO109" s="74">
        <f t="shared" si="7"/>
        <v>-32.60168298737829</v>
      </c>
      <c r="AP109" s="74">
        <f t="shared" si="8"/>
        <v>135.57587329522272</v>
      </c>
      <c r="AQ109" s="74">
        <f t="shared" si="9"/>
        <v>5.821802536845105</v>
      </c>
      <c r="AR109" s="75">
        <f t="shared" si="9"/>
        <v>74.6641846871913</v>
      </c>
    </row>
    <row r="110" spans="2:44" ht="27.75">
      <c r="B110" s="68">
        <v>68</v>
      </c>
      <c r="AL110" s="73">
        <v>5.6234132519034645</v>
      </c>
      <c r="AM110" s="74">
        <f t="shared" si="5"/>
        <v>37.640331003503874</v>
      </c>
      <c r="AN110" s="75">
        <f t="shared" si="6"/>
        <v>-63.62992838065739</v>
      </c>
      <c r="AO110" s="74">
        <f t="shared" si="7"/>
        <v>-32.892077512434156</v>
      </c>
      <c r="AP110" s="74">
        <f t="shared" si="8"/>
        <v>136.3250992674948</v>
      </c>
      <c r="AQ110" s="74">
        <f t="shared" si="9"/>
        <v>4.748253491069718</v>
      </c>
      <c r="AR110" s="75">
        <f t="shared" si="9"/>
        <v>72.69517088683742</v>
      </c>
    </row>
    <row r="111" spans="2:44" ht="27.75">
      <c r="B111" s="68">
        <v>82</v>
      </c>
      <c r="AL111" s="73">
        <v>6.309573444801904</v>
      </c>
      <c r="AM111" s="74">
        <f t="shared" si="5"/>
        <v>36.82064195899866</v>
      </c>
      <c r="AN111" s="75">
        <f t="shared" si="6"/>
        <v>-66.16578371431122</v>
      </c>
      <c r="AO111" s="74">
        <f t="shared" si="7"/>
        <v>-33.16891608894807</v>
      </c>
      <c r="AP111" s="74">
        <f t="shared" si="8"/>
        <v>136.70630559528257</v>
      </c>
      <c r="AQ111" s="74">
        <f t="shared" si="9"/>
        <v>3.6517258700505835</v>
      </c>
      <c r="AR111" s="75">
        <f t="shared" si="9"/>
        <v>70.54052188097135</v>
      </c>
    </row>
    <row r="112" spans="2:44" ht="27.75">
      <c r="B112" s="68">
        <v>100</v>
      </c>
      <c r="AL112" s="73">
        <v>7.079457843841347</v>
      </c>
      <c r="AM112" s="74">
        <f t="shared" si="5"/>
        <v>35.96940176863399</v>
      </c>
      <c r="AN112" s="75">
        <f t="shared" si="6"/>
        <v>-68.51302493296484</v>
      </c>
      <c r="AO112" s="74">
        <f t="shared" si="7"/>
        <v>-33.4411389852426</v>
      </c>
      <c r="AP112" s="74">
        <f t="shared" si="8"/>
        <v>136.71024620156845</v>
      </c>
      <c r="AQ112" s="74">
        <f t="shared" si="9"/>
        <v>2.5282627833913907</v>
      </c>
      <c r="AR112" s="75">
        <f t="shared" si="9"/>
        <v>68.19722126860361</v>
      </c>
    </row>
    <row r="113" spans="2:44" ht="27.75">
      <c r="B113" s="68">
        <v>120</v>
      </c>
      <c r="AL113" s="73">
        <v>7.943282347242782</v>
      </c>
      <c r="AM113" s="74">
        <f t="shared" si="5"/>
        <v>35.09130799532878</v>
      </c>
      <c r="AN113" s="75">
        <f t="shared" si="6"/>
        <v>-70.67112835465285</v>
      </c>
      <c r="AO113" s="74">
        <f t="shared" si="7"/>
        <v>-33.717789768654065</v>
      </c>
      <c r="AP113" s="74">
        <f t="shared" si="8"/>
        <v>136.33682594318208</v>
      </c>
      <c r="AQ113" s="74">
        <f t="shared" si="9"/>
        <v>1.3735182266747188</v>
      </c>
      <c r="AR113" s="75">
        <f t="shared" si="9"/>
        <v>65.66569758852923</v>
      </c>
    </row>
    <row r="114" spans="2:44" ht="27.75">
      <c r="B114" s="68">
        <v>150</v>
      </c>
      <c r="AL114" s="73">
        <v>8.912509381337419</v>
      </c>
      <c r="AM114" s="74">
        <f t="shared" si="5"/>
        <v>34.190640784708236</v>
      </c>
      <c r="AN114" s="75">
        <f t="shared" si="6"/>
        <v>-72.6440841528461</v>
      </c>
      <c r="AO114" s="74">
        <f t="shared" si="7"/>
        <v>-34.00781296110313</v>
      </c>
      <c r="AP114" s="74">
        <f t="shared" si="8"/>
        <v>135.59510040129828</v>
      </c>
      <c r="AQ114" s="74">
        <f t="shared" si="9"/>
        <v>0.18282782360510907</v>
      </c>
      <c r="AR114" s="75">
        <f t="shared" si="9"/>
        <v>62.95101624845218</v>
      </c>
    </row>
    <row r="115" spans="2:44" ht="27.75">
      <c r="B115" s="68">
        <v>182</v>
      </c>
      <c r="AL115" s="73">
        <v>9.999999999999957</v>
      </c>
      <c r="AM115" s="74">
        <f t="shared" si="5"/>
        <v>33.271195365230184</v>
      </c>
      <c r="AN115" s="75">
        <f t="shared" si="6"/>
        <v>-74.4392185310245</v>
      </c>
      <c r="AO115" s="74">
        <f t="shared" si="7"/>
        <v>-34.3198397538216</v>
      </c>
      <c r="AP115" s="74">
        <f t="shared" si="8"/>
        <v>134.5032760183293</v>
      </c>
      <c r="AQ115" s="74">
        <f t="shared" si="9"/>
        <v>-1.0486443885914127</v>
      </c>
      <c r="AR115" s="75">
        <f t="shared" si="9"/>
        <v>60.06405748730481</v>
      </c>
    </row>
    <row r="116" spans="2:44" ht="27.75">
      <c r="B116" s="68">
        <v>220</v>
      </c>
      <c r="AL116" s="73">
        <v>11.220184543019586</v>
      </c>
      <c r="AM116" s="74">
        <f t="shared" si="5"/>
        <v>32.33626428229418</v>
      </c>
      <c r="AN116" s="75">
        <f t="shared" si="6"/>
        <v>-76.06613576109925</v>
      </c>
      <c r="AO116" s="74">
        <f t="shared" si="7"/>
        <v>-34.66194253748944</v>
      </c>
      <c r="AP116" s="74">
        <f t="shared" si="8"/>
        <v>133.08859605594034</v>
      </c>
      <c r="AQ116" s="74">
        <f t="shared" si="9"/>
        <v>-2.325678255195257</v>
      </c>
      <c r="AR116" s="75">
        <f t="shared" si="9"/>
        <v>57.022460294841096</v>
      </c>
    </row>
    <row r="117" spans="2:44" ht="27.75">
      <c r="B117" s="68">
        <v>270</v>
      </c>
      <c r="AL117" s="73">
        <v>12.589254117941618</v>
      </c>
      <c r="AM117" s="74">
        <f t="shared" si="5"/>
        <v>31.388654228296854</v>
      </c>
      <c r="AN117" s="75">
        <f t="shared" si="6"/>
        <v>-77.53583232081924</v>
      </c>
      <c r="AO117" s="74">
        <f t="shared" si="7"/>
        <v>-35.04135356649367</v>
      </c>
      <c r="AP117" s="74">
        <f t="shared" si="8"/>
        <v>131.38691593140362</v>
      </c>
      <c r="AQ117" s="74">
        <f t="shared" si="9"/>
        <v>-3.6526993381968147</v>
      </c>
      <c r="AR117" s="75">
        <f t="shared" si="9"/>
        <v>53.85108361058438</v>
      </c>
    </row>
    <row r="118" spans="2:44" ht="27.75">
      <c r="B118" s="68">
        <v>330</v>
      </c>
      <c r="AL118" s="73">
        <v>14.125375446227489</v>
      </c>
      <c r="AM118" s="74">
        <f t="shared" si="5"/>
        <v>30.430724167105204</v>
      </c>
      <c r="AN118" s="75">
        <f t="shared" si="6"/>
        <v>-78.85999613462161</v>
      </c>
      <c r="AO118" s="74">
        <f t="shared" si="7"/>
        <v>-35.46416367766602</v>
      </c>
      <c r="AP118" s="74">
        <f t="shared" si="8"/>
        <v>129.44175442514222</v>
      </c>
      <c r="AQ118" s="74">
        <f t="shared" si="9"/>
        <v>-5.033439510560818</v>
      </c>
      <c r="AR118" s="75">
        <f t="shared" si="9"/>
        <v>50.58175829052061</v>
      </c>
    </row>
    <row r="119" spans="2:44" ht="27.75">
      <c r="B119" s="68">
        <v>390</v>
      </c>
      <c r="AL119" s="73">
        <v>15.848931924611072</v>
      </c>
      <c r="AM119" s="74">
        <f t="shared" si="5"/>
        <v>29.464434380031857</v>
      </c>
      <c r="AN119" s="75">
        <f t="shared" si="6"/>
        <v>-80.05047946438245</v>
      </c>
      <c r="AO119" s="74">
        <f t="shared" si="7"/>
        <v>-35.93503759584469</v>
      </c>
      <c r="AP119" s="74">
        <f t="shared" si="8"/>
        <v>127.30267420379829</v>
      </c>
      <c r="AQ119" s="74">
        <f t="shared" si="9"/>
        <v>-6.470603215812833</v>
      </c>
      <c r="AR119" s="75">
        <f t="shared" si="9"/>
        <v>47.25219473941584</v>
      </c>
    </row>
    <row r="120" spans="2:44" ht="27.75">
      <c r="B120" s="68">
        <v>470</v>
      </c>
      <c r="AL120" s="73">
        <v>17.782794100389157</v>
      </c>
      <c r="AM120" s="74">
        <f t="shared" si="5"/>
        <v>28.491399082596462</v>
      </c>
      <c r="AN120" s="75">
        <f t="shared" si="6"/>
        <v>-81.11892156293348</v>
      </c>
      <c r="AO120" s="74">
        <f t="shared" si="7"/>
        <v>-36.456995219149604</v>
      </c>
      <c r="AP120" s="74">
        <f t="shared" si="8"/>
        <v>125.02299025309527</v>
      </c>
      <c r="AQ120" s="74">
        <f t="shared" si="9"/>
        <v>-7.965596136553142</v>
      </c>
      <c r="AR120" s="75">
        <f t="shared" si="9"/>
        <v>43.90406869016179</v>
      </c>
    </row>
    <row r="121" spans="38:44" ht="27.75">
      <c r="AL121" s="73">
        <v>19.952623149688726</v>
      </c>
      <c r="AM121" s="74">
        <f t="shared" si="5"/>
        <v>27.51293786062888</v>
      </c>
      <c r="AN121" s="75">
        <f t="shared" si="6"/>
        <v>-82.07649307637323</v>
      </c>
      <c r="AO121" s="74">
        <f t="shared" si="7"/>
        <v>-37.031306674153235</v>
      </c>
      <c r="AP121" s="74">
        <f t="shared" si="8"/>
        <v>122.65698872917352</v>
      </c>
      <c r="AQ121" s="74">
        <f t="shared" si="9"/>
        <v>-9.518368813524354</v>
      </c>
      <c r="AR121" s="75">
        <f t="shared" si="9"/>
        <v>40.580495652800295</v>
      </c>
    </row>
    <row r="122" spans="38:44" ht="27.75">
      <c r="AL122" s="73">
        <v>22.387211385683315</v>
      </c>
      <c r="AM122" s="74">
        <f t="shared" si="5"/>
        <v>26.53012317285623</v>
      </c>
      <c r="AN122" s="75">
        <f t="shared" si="6"/>
        <v>-82.93373501886732</v>
      </c>
      <c r="AO122" s="74">
        <f t="shared" si="7"/>
        <v>-37.65753095349163</v>
      </c>
      <c r="AP122" s="74">
        <f t="shared" si="8"/>
        <v>120.25699630604439</v>
      </c>
      <c r="AQ122" s="74">
        <f t="shared" si="9"/>
        <v>-11.127407780635401</v>
      </c>
      <c r="AR122" s="75">
        <f t="shared" si="9"/>
        <v>37.32326128717706</v>
      </c>
    </row>
    <row r="123" spans="38:44" ht="27.75">
      <c r="AL123" s="73">
        <v>25.11886431509571</v>
      </c>
      <c r="AM123" s="74">
        <f t="shared" si="5"/>
        <v>25.543822579784205</v>
      </c>
      <c r="AN123" s="75">
        <f t="shared" si="6"/>
        <v>-83.70046846819079</v>
      </c>
      <c r="AO123" s="74">
        <f t="shared" si="7"/>
        <v>-38.33369866096966</v>
      </c>
      <c r="AP123" s="74">
        <f t="shared" si="8"/>
        <v>117.87070804617906</v>
      </c>
      <c r="AQ123" s="74">
        <f t="shared" si="9"/>
        <v>-12.789876081185454</v>
      </c>
      <c r="AR123" s="75">
        <f t="shared" si="9"/>
        <v>34.17023957798827</v>
      </c>
    </row>
    <row r="124" spans="38:44" ht="27.75">
      <c r="AL124" s="73">
        <v>28.18382931264445</v>
      </c>
      <c r="AM124" s="74">
        <f t="shared" si="5"/>
        <v>24.554735285346926</v>
      </c>
      <c r="AN124" s="75">
        <f t="shared" si="6"/>
        <v>-84.38575533803713</v>
      </c>
      <c r="AO124" s="74">
        <f t="shared" si="7"/>
        <v>-39.05660917874631</v>
      </c>
      <c r="AP124" s="74">
        <f t="shared" si="8"/>
        <v>115.53913181480706</v>
      </c>
      <c r="AQ124" s="74">
        <f t="shared" si="9"/>
        <v>-14.501873893399381</v>
      </c>
      <c r="AR124" s="75">
        <f t="shared" si="9"/>
        <v>31.153376476769935</v>
      </c>
    </row>
    <row r="125" spans="38:44" ht="27.75">
      <c r="AL125" s="73">
        <v>31.62277660168369</v>
      </c>
      <c r="AM125" s="74">
        <f t="shared" si="5"/>
        <v>23.56342313921595</v>
      </c>
      <c r="AN125" s="75">
        <f t="shared" si="6"/>
        <v>-84.99789475892597</v>
      </c>
      <c r="AO125" s="74">
        <f t="shared" si="7"/>
        <v>-39.822192077325575</v>
      </c>
      <c r="AP125" s="74">
        <f t="shared" si="8"/>
        <v>113.2953615984336</v>
      </c>
      <c r="AQ125" s="74">
        <f t="shared" si="9"/>
        <v>-16.258768938109625</v>
      </c>
      <c r="AR125" s="75">
        <f t="shared" si="9"/>
        <v>28.297466839507635</v>
      </c>
    </row>
    <row r="126" spans="38:44" ht="27.75">
      <c r="AL126" s="73">
        <v>35.48133892335743</v>
      </c>
      <c r="AM126" s="74">
        <f t="shared" si="5"/>
        <v>22.57033655373519</v>
      </c>
      <c r="AN126" s="75">
        <f t="shared" si="6"/>
        <v>-85.54444329795511</v>
      </c>
      <c r="AO126" s="74">
        <f t="shared" si="7"/>
        <v>-40.625877491898024</v>
      </c>
      <c r="AP126" s="74">
        <f t="shared" si="8"/>
        <v>111.16420994975661</v>
      </c>
      <c r="AQ126" s="74">
        <f t="shared" si="9"/>
        <v>-18.055540938162835</v>
      </c>
      <c r="AR126" s="75">
        <f t="shared" si="9"/>
        <v>25.6197666518015</v>
      </c>
    </row>
    <row r="127" spans="38:44" ht="27.75">
      <c r="AL127" s="73">
        <v>39.81071705534961</v>
      </c>
      <c r="AM127" s="74">
        <f t="shared" si="5"/>
        <v>21.57583592770454</v>
      </c>
      <c r="AN127" s="75">
        <f t="shared" si="6"/>
        <v>-86.03225030997615</v>
      </c>
      <c r="AO127" s="74">
        <f t="shared" si="7"/>
        <v>-41.46292927249104</v>
      </c>
      <c r="AP127" s="74">
        <f t="shared" si="8"/>
        <v>109.16257443444648</v>
      </c>
      <c r="AQ127" s="74">
        <f t="shared" si="9"/>
        <v>-19.8870933447865</v>
      </c>
      <c r="AR127" s="75">
        <f t="shared" si="9"/>
        <v>23.130324124470334</v>
      </c>
    </row>
    <row r="128" spans="38:44" ht="27.75">
      <c r="AL128" s="73">
        <v>44.66835921509618</v>
      </c>
      <c r="AM128" s="74">
        <f t="shared" si="5"/>
        <v>20.580209203805587</v>
      </c>
      <c r="AN128" s="75">
        <f t="shared" si="6"/>
        <v>-86.46750213698009</v>
      </c>
      <c r="AO128" s="74">
        <f t="shared" si="7"/>
        <v>-42.328711909899</v>
      </c>
      <c r="AP128" s="74">
        <f t="shared" si="8"/>
        <v>107.30032307191301</v>
      </c>
      <c r="AQ128" s="74">
        <f t="shared" si="9"/>
        <v>-21.74850270609341</v>
      </c>
      <c r="AR128" s="75">
        <f t="shared" si="9"/>
        <v>20.832820934932926</v>
      </c>
    </row>
    <row r="129" spans="38:44" ht="27.75">
      <c r="AL129" s="73">
        <v>50.11872336272708</v>
      </c>
      <c r="AM129" s="74">
        <f t="shared" si="5"/>
        <v>19.58368616157039</v>
      </c>
      <c r="AN129" s="75">
        <f t="shared" si="6"/>
        <v>-86.85577073023532</v>
      </c>
      <c r="AO129" s="74">
        <f t="shared" si="7"/>
        <v>-43.21888050528542</v>
      </c>
      <c r="AP129" s="74">
        <f t="shared" si="8"/>
        <v>105.58146446906642</v>
      </c>
      <c r="AQ129" s="74">
        <f t="shared" si="9"/>
        <v>-23.63519434371503</v>
      </c>
      <c r="AR129" s="75">
        <f t="shared" si="9"/>
        <v>18.725693738831097</v>
      </c>
    </row>
    <row r="130" spans="38:44" ht="27.75">
      <c r="AL130" s="73">
        <v>56.234132519034766</v>
      </c>
      <c r="AM130" s="74">
        <f t="shared" si="5"/>
        <v>18.586449992412955</v>
      </c>
      <c r="AN130" s="75">
        <f t="shared" si="6"/>
        <v>-87.20206365825106</v>
      </c>
      <c r="AO130" s="74">
        <f t="shared" si="7"/>
        <v>-44.12949742538167</v>
      </c>
      <c r="AP130" s="74">
        <f t="shared" si="8"/>
        <v>104.00540069810634</v>
      </c>
      <c r="AQ130" s="74">
        <f t="shared" si="9"/>
        <v>-25.543047432968716</v>
      </c>
      <c r="AR130" s="75">
        <f t="shared" si="9"/>
        <v>16.80333703985528</v>
      </c>
    </row>
    <row r="131" spans="38:44" ht="27.75">
      <c r="AL131" s="73">
        <v>63.09573444801914</v>
      </c>
      <c r="AM131" s="74">
        <f t="shared" si="5"/>
        <v>17.588646635436</v>
      </c>
      <c r="AN131" s="75">
        <f t="shared" si="6"/>
        <v>-87.51087348044092</v>
      </c>
      <c r="AO131" s="74">
        <f t="shared" si="7"/>
        <v>-45.05708785622807</v>
      </c>
      <c r="AP131" s="74">
        <f t="shared" si="8"/>
        <v>102.56811811702863</v>
      </c>
      <c r="AQ131" s="74">
        <f t="shared" si="9"/>
        <v>-27.468441220792073</v>
      </c>
      <c r="AR131" s="75">
        <f t="shared" si="9"/>
        <v>15.057244636587711</v>
      </c>
    </row>
    <row r="132" spans="38:44" ht="27.75">
      <c r="AL132" s="73">
        <v>70.79457843841361</v>
      </c>
      <c r="AM132" s="74">
        <f t="shared" si="5"/>
        <v>16.590392283140236</v>
      </c>
      <c r="AN132" s="75">
        <f t="shared" si="6"/>
        <v>-87.78622519769554</v>
      </c>
      <c r="AO132" s="74">
        <f t="shared" si="7"/>
        <v>-45.998649709847214</v>
      </c>
      <c r="AP132" s="74">
        <f t="shared" si="8"/>
        <v>101.26323087897741</v>
      </c>
      <c r="AQ132" s="74">
        <f t="shared" si="9"/>
        <v>-29.408257426706978</v>
      </c>
      <c r="AR132" s="75">
        <f t="shared" si="9"/>
        <v>13.477005681281867</v>
      </c>
    </row>
    <row r="133" spans="38:44" ht="27.75">
      <c r="AL133" s="73">
        <v>79.43282347242798</v>
      </c>
      <c r="AM133" s="74">
        <f t="shared" si="5"/>
        <v>15.591779400608525</v>
      </c>
      <c r="AN133" s="75">
        <f t="shared" si="6"/>
        <v>-88.03172100819083</v>
      </c>
      <c r="AO133" s="74">
        <f t="shared" si="7"/>
        <v>-46.951632864664106</v>
      </c>
      <c r="AP133" s="74">
        <f t="shared" si="8"/>
        <v>100.08284079072938</v>
      </c>
      <c r="AQ133" s="74">
        <f t="shared" si="9"/>
        <v>-31.359853464055583</v>
      </c>
      <c r="AR133" s="75">
        <f t="shared" si="9"/>
        <v>12.05111978253855</v>
      </c>
    </row>
    <row r="134" spans="38:44" ht="27.75">
      <c r="AL134" s="73">
        <v>89.12509381337432</v>
      </c>
      <c r="AM134" s="74">
        <f t="shared" si="5"/>
        <v>14.59288154299422</v>
      </c>
      <c r="AN134" s="75">
        <f t="shared" si="6"/>
        <v>-88.25058195598845</v>
      </c>
      <c r="AO134" s="74">
        <f t="shared" si="7"/>
        <v>-47.913900268239274</v>
      </c>
      <c r="AP134" s="74">
        <f t="shared" si="8"/>
        <v>99.01821101136503</v>
      </c>
      <c r="AQ134" s="74">
        <f t="shared" si="9"/>
        <v>-33.321018725245054</v>
      </c>
      <c r="AR134" s="75">
        <f t="shared" si="9"/>
        <v>10.767629055376574</v>
      </c>
    </row>
    <row r="135" spans="38:44" ht="27.75">
      <c r="AL135" s="73">
        <v>99.99999999999977</v>
      </c>
      <c r="AM135" s="74">
        <f t="shared" si="5"/>
        <v>13.593757205179077</v>
      </c>
      <c r="AN135" s="75">
        <f t="shared" si="6"/>
        <v>-88.44568630456163</v>
      </c>
      <c r="AO135" s="74">
        <f t="shared" si="7"/>
        <v>-48.883680331134</v>
      </c>
      <c r="AP135" s="74">
        <f t="shared" si="8"/>
        <v>98.06027082546092</v>
      </c>
      <c r="AQ135" s="74">
        <f t="shared" si="9"/>
        <v>-35.28992312595493</v>
      </c>
      <c r="AR135" s="75">
        <f t="shared" si="9"/>
        <v>9.614584520899285</v>
      </c>
    </row>
    <row r="136" spans="38:44" ht="27.75">
      <c r="AL136" s="73">
        <v>112.20184543019614</v>
      </c>
      <c r="AM136" s="74">
        <f t="shared" si="5"/>
        <v>12.594452894221696</v>
      </c>
      <c r="AN136" s="75">
        <f t="shared" si="6"/>
        <v>-88.61960462976847</v>
      </c>
      <c r="AO136" s="74">
        <f t="shared" si="7"/>
        <v>-49.85951709807888</v>
      </c>
      <c r="AP136" s="74">
        <f t="shared" si="8"/>
        <v>97.1999777474587</v>
      </c>
      <c r="AQ136" s="74">
        <f t="shared" si="9"/>
        <v>-37.265064203857186</v>
      </c>
      <c r="AR136" s="75">
        <f t="shared" si="9"/>
        <v>8.580373117690229</v>
      </c>
    </row>
    <row r="137" spans="38:44" ht="27.75">
      <c r="AL137" s="73">
        <v>125.89254117941643</v>
      </c>
      <c r="AM137" s="74">
        <f t="shared" si="5"/>
        <v>11.595005579099633</v>
      </c>
      <c r="AN137" s="75">
        <f t="shared" si="6"/>
        <v>-88.77463173098421</v>
      </c>
      <c r="AO137" s="74">
        <f t="shared" si="7"/>
        <v>-50.840222267488016</v>
      </c>
      <c r="AP137" s="74">
        <f t="shared" si="8"/>
        <v>96.42856521638184</v>
      </c>
      <c r="AQ137" s="74">
        <f t="shared" si="9"/>
        <v>-39.24521668838838</v>
      </c>
      <c r="AR137" s="75">
        <f t="shared" si="9"/>
        <v>7.65393348539763</v>
      </c>
    </row>
    <row r="138" spans="38:44" ht="27.75">
      <c r="AL138" s="73">
        <v>141.25375446227503</v>
      </c>
      <c r="AM138" s="74">
        <f t="shared" si="5"/>
        <v>10.595444642432248</v>
      </c>
      <c r="AN138" s="75">
        <f t="shared" si="6"/>
        <v>-88.91281552258928</v>
      </c>
      <c r="AO138" s="74">
        <f t="shared" si="7"/>
        <v>-51.82483133208336</v>
      </c>
      <c r="AP138" s="74">
        <f t="shared" si="8"/>
        <v>95.73770218020432</v>
      </c>
      <c r="AQ138" s="74">
        <f t="shared" si="9"/>
        <v>-41.229386689651115</v>
      </c>
      <c r="AR138" s="75">
        <f t="shared" si="9"/>
        <v>6.824886657615039</v>
      </c>
    </row>
    <row r="139" spans="38:44" ht="27.75">
      <c r="AL139" s="73">
        <v>158.48931924611082</v>
      </c>
      <c r="AM139" s="74">
        <f t="shared" si="5"/>
        <v>9.595793434470048</v>
      </c>
      <c r="AN139" s="75">
        <f t="shared" si="6"/>
        <v>-89.03598310341226</v>
      </c>
      <c r="AO139" s="74">
        <f t="shared" si="7"/>
        <v>-52.81256487430513</v>
      </c>
      <c r="AP139" s="74">
        <f t="shared" si="8"/>
        <v>95.1195870938518</v>
      </c>
      <c r="AQ139" s="74">
        <f t="shared" si="9"/>
        <v>-43.216771439835085</v>
      </c>
      <c r="AR139" s="75">
        <f t="shared" si="9"/>
        <v>6.083603990439542</v>
      </c>
    </row>
    <row r="140" spans="38:44" ht="27.75">
      <c r="AL140" s="73">
        <v>177.82794100389162</v>
      </c>
      <c r="AM140" s="74">
        <f t="shared" si="5"/>
        <v>8.596070509797869</v>
      </c>
      <c r="AN140" s="75">
        <f t="shared" si="6"/>
        <v>-89.14576421807082</v>
      </c>
      <c r="AO140" s="74">
        <f t="shared" si="7"/>
        <v>-53.802795256243996</v>
      </c>
      <c r="AP140" s="74">
        <f t="shared" si="8"/>
        <v>94.56699459170466</v>
      </c>
      <c r="AQ140" s="74">
        <f t="shared" si="9"/>
        <v>-45.20672474644613</v>
      </c>
      <c r="AR140" s="75">
        <f t="shared" si="9"/>
        <v>5.421230373633833</v>
      </c>
    </row>
    <row r="141" spans="38:44" ht="27.75">
      <c r="AL141" s="73">
        <v>199.5262314968871</v>
      </c>
      <c r="AM141" s="74">
        <f t="shared" si="5"/>
        <v>7.596290611152067</v>
      </c>
      <c r="AN141" s="75">
        <f t="shared" si="6"/>
        <v>-89.24361232782911</v>
      </c>
      <c r="AO141" s="74">
        <f t="shared" si="7"/>
        <v>-54.7950184752389</v>
      </c>
      <c r="AP141" s="74">
        <f t="shared" si="8"/>
        <v>94.07328906476681</v>
      </c>
      <c r="AQ141" s="74">
        <f t="shared" si="9"/>
        <v>-47.198727864086834</v>
      </c>
      <c r="AR141" s="75">
        <f t="shared" si="9"/>
        <v>4.829676736937699</v>
      </c>
    </row>
    <row r="142" spans="38:44" ht="27.75">
      <c r="AL142" s="73">
        <v>223.87211385683293</v>
      </c>
      <c r="AM142" s="74">
        <f t="shared" si="5"/>
        <v>6.596465451821931</v>
      </c>
      <c r="AN142" s="75">
        <f t="shared" si="6"/>
        <v>-89.33082350408735</v>
      </c>
      <c r="AO142" s="74">
        <f t="shared" si="7"/>
        <v>-55.78883071027546</v>
      </c>
      <c r="AP142" s="74">
        <f t="shared" si="8"/>
        <v>93.63241589758088</v>
      </c>
      <c r="AQ142" s="74">
        <f t="shared" si="9"/>
        <v>-49.192365258453535</v>
      </c>
      <c r="AR142" s="75">
        <f t="shared" si="9"/>
        <v>4.301592393493536</v>
      </c>
    </row>
    <row r="143" spans="38:44" ht="27.75">
      <c r="AL143" s="73">
        <v>251.18864315095672</v>
      </c>
      <c r="AM143" s="74">
        <f t="shared" si="5"/>
        <v>5.59660433771893</v>
      </c>
      <c r="AN143" s="75">
        <f t="shared" si="6"/>
        <v>-89.40855334806001</v>
      </c>
      <c r="AO143" s="74">
        <f t="shared" si="7"/>
        <v>-56.783908981821355</v>
      </c>
      <c r="AP143" s="74">
        <f t="shared" si="8"/>
        <v>93.23887829071249</v>
      </c>
      <c r="AQ143" s="74">
        <f t="shared" si="9"/>
        <v>-51.187304644102426</v>
      </c>
      <c r="AR143" s="75">
        <f t="shared" si="9"/>
        <v>3.8303249426524815</v>
      </c>
    </row>
    <row r="144" spans="38:44" ht="27.75">
      <c r="AL144" s="73">
        <v>281.83829312644406</v>
      </c>
      <c r="AM144" s="74">
        <f t="shared" si="5"/>
        <v>4.596714661873622</v>
      </c>
      <c r="AN144" s="75">
        <f t="shared" si="6"/>
        <v>-89.47783212773084</v>
      </c>
      <c r="AO144" s="74">
        <f t="shared" si="7"/>
        <v>-57.779995332150804</v>
      </c>
      <c r="AP144" s="74">
        <f t="shared" si="8"/>
        <v>92.88770537987752</v>
      </c>
      <c r="AQ144" s="74">
        <f t="shared" si="9"/>
        <v>-53.183280670277185</v>
      </c>
      <c r="AR144" s="75">
        <f t="shared" si="9"/>
        <v>3.4098732521466815</v>
      </c>
    </row>
    <row r="145" spans="38:44" ht="27.75">
      <c r="AL145" s="73">
        <v>316.22776601683626</v>
      </c>
      <c r="AM145" s="74">
        <f t="shared" si="5"/>
        <v>3.5968022974619505</v>
      </c>
      <c r="AN145" s="75">
        <f t="shared" si="6"/>
        <v>-89.53957830925307</v>
      </c>
      <c r="AO145" s="74">
        <f t="shared" si="7"/>
        <v>-58.77688396621197</v>
      </c>
      <c r="AP145" s="74">
        <f t="shared" si="8"/>
        <v>92.57441567834012</v>
      </c>
      <c r="AQ145" s="74">
        <f t="shared" si="9"/>
        <v>-55.18008166875002</v>
      </c>
      <c r="AR145" s="75">
        <f t="shared" si="9"/>
        <v>3.034837369087043</v>
      </c>
    </row>
    <row r="146" spans="38:44" ht="27.75">
      <c r="AL146" s="73">
        <v>354.81338923357345</v>
      </c>
      <c r="AM146" s="74">
        <f t="shared" si="5"/>
        <v>2.596871910144375</v>
      </c>
      <c r="AN146" s="75">
        <f t="shared" si="6"/>
        <v>-89.5946106455622</v>
      </c>
      <c r="AO146" s="74">
        <f t="shared" si="7"/>
        <v>-59.77441084996226</v>
      </c>
      <c r="AP146" s="74">
        <f t="shared" si="8"/>
        <v>92.29497861648774</v>
      </c>
      <c r="AQ146" s="74">
        <f t="shared" si="9"/>
        <v>-57.177538939817886</v>
      </c>
      <c r="AR146" s="75">
        <f t="shared" si="9"/>
        <v>2.700367970925541</v>
      </c>
    </row>
    <row r="147" spans="38:44" ht="27.75">
      <c r="AL147" s="73">
        <v>398.10717055349477</v>
      </c>
      <c r="AM147" s="74">
        <f t="shared" si="5"/>
        <v>1.596927206258708</v>
      </c>
      <c r="AN147" s="75">
        <f t="shared" si="6"/>
        <v>-89.64365897071814</v>
      </c>
      <c r="AO147" s="74">
        <f t="shared" si="7"/>
        <v>-60.7724453286694</v>
      </c>
      <c r="AP147" s="74">
        <f t="shared" si="8"/>
        <v>92.04577603789784</v>
      </c>
      <c r="AQ147" s="74">
        <f t="shared" si="9"/>
        <v>-59.17551812241069</v>
      </c>
      <c r="AR147" s="75">
        <f t="shared" si="9"/>
        <v>2.4021170671797023</v>
      </c>
    </row>
    <row r="148" spans="38:44" ht="27.75">
      <c r="AL148" s="73">
        <v>446.6835921509601</v>
      </c>
      <c r="AM148" s="74">
        <f t="shared" si="5"/>
        <v>0.5969711300253395</v>
      </c>
      <c r="AN148" s="75">
        <f t="shared" si="6"/>
        <v>-89.68737383478724</v>
      </c>
      <c r="AO148" s="74">
        <f t="shared" si="7"/>
        <v>-61.770883393177144</v>
      </c>
      <c r="AP148" s="74">
        <f t="shared" si="8"/>
        <v>91.82356485424849</v>
      </c>
      <c r="AQ148" s="74">
        <f t="shared" si="9"/>
        <v>-61.173912263151806</v>
      </c>
      <c r="AR148" s="75">
        <f t="shared" si="9"/>
        <v>2.1361910194612506</v>
      </c>
    </row>
    <row r="149" spans="38:44" ht="27.75">
      <c r="AL149" s="73">
        <v>501.1872336272687</v>
      </c>
      <c r="AM149" s="74">
        <f t="shared" si="5"/>
        <v>-0.40299397977006435</v>
      </c>
      <c r="AN149" s="75">
        <f t="shared" si="6"/>
        <v>-89.7263351011475</v>
      </c>
      <c r="AO149" s="74">
        <f t="shared" si="7"/>
        <v>-62.769642282907846</v>
      </c>
      <c r="AP149" s="74">
        <f t="shared" si="8"/>
        <v>91.62544159675451</v>
      </c>
      <c r="AQ149" s="74">
        <f t="shared" si="9"/>
        <v>-63.17263626267791</v>
      </c>
      <c r="AR149" s="75">
        <f t="shared" si="9"/>
        <v>1.8991064956070147</v>
      </c>
    </row>
    <row r="150" spans="38:44" ht="27.75">
      <c r="AL150" s="73">
        <v>562.3413251903448</v>
      </c>
      <c r="AM150" s="74">
        <f t="shared" si="5"/>
        <v>-1.4029662652956831</v>
      </c>
      <c r="AN150" s="75">
        <f t="shared" si="6"/>
        <v>-89.76105961607271</v>
      </c>
      <c r="AO150" s="74">
        <f t="shared" si="7"/>
        <v>-63.76865616830878</v>
      </c>
      <c r="AP150" s="74">
        <f t="shared" si="8"/>
        <v>91.44880927834835</v>
      </c>
      <c r="AQ150" s="74">
        <f t="shared" si="9"/>
        <v>-65.17162243360447</v>
      </c>
      <c r="AR150" s="75">
        <f t="shared" si="9"/>
        <v>1.6877496622756354</v>
      </c>
    </row>
    <row r="151" spans="38:44" ht="27.75">
      <c r="AL151" s="73">
        <v>630.9573444801881</v>
      </c>
      <c r="AM151" s="74">
        <f t="shared" si="5"/>
        <v>-2.402944250780129</v>
      </c>
      <c r="AN151" s="75">
        <f t="shared" si="6"/>
        <v>-89.79200804937415</v>
      </c>
      <c r="AO151" s="74">
        <f t="shared" si="7"/>
        <v>-64.76787270193428</v>
      </c>
      <c r="AP151" s="74">
        <f t="shared" si="8"/>
        <v>91.29134675967798</v>
      </c>
      <c r="AQ151" s="74">
        <f t="shared" si="9"/>
        <v>-67.1708169527144</v>
      </c>
      <c r="AR151" s="75">
        <f t="shared" si="9"/>
        <v>1.4993387103038316</v>
      </c>
    </row>
    <row r="152" spans="38:44" ht="27.75">
      <c r="AL152" s="73">
        <v>707.9457843841318</v>
      </c>
      <c r="AM152" s="74">
        <f t="shared" si="5"/>
        <v>-3.402926763949326</v>
      </c>
      <c r="AN152" s="75">
        <f t="shared" si="6"/>
        <v>-89.81959099475263</v>
      </c>
      <c r="AO152" s="74">
        <f t="shared" si="7"/>
        <v>-65.76725026661697</v>
      </c>
      <c r="AP152" s="74">
        <f t="shared" si="8"/>
        <v>91.15098066411095</v>
      </c>
      <c r="AQ152" s="74">
        <f t="shared" si="9"/>
        <v>-69.1701770305663</v>
      </c>
      <c r="AR152" s="75">
        <f t="shared" si="9"/>
        <v>1.331389669358316</v>
      </c>
    </row>
    <row r="153" spans="38:44" ht="27.75">
      <c r="AL153" s="73">
        <v>794.3282347242744</v>
      </c>
      <c r="AM153" s="74">
        <f t="shared" si="5"/>
        <v>-4.402912873615707</v>
      </c>
      <c r="AN153" s="75">
        <f t="shared" si="6"/>
        <v>-89.84417440930827</v>
      </c>
      <c r="AO153" s="74">
        <f t="shared" si="7"/>
        <v>-66.76675578186013</v>
      </c>
      <c r="AP153" s="74">
        <f t="shared" si="8"/>
        <v>91.02585979093367</v>
      </c>
      <c r="AQ153" s="74">
        <f t="shared" si="9"/>
        <v>-71.16966865547583</v>
      </c>
      <c r="AR153" s="75">
        <f t="shared" si="9"/>
        <v>1.1816853816253996</v>
      </c>
    </row>
    <row r="154" spans="38:44" ht="27.75">
      <c r="AL154" s="73">
        <v>891.250938133737</v>
      </c>
      <c r="AM154" s="74">
        <f t="shared" si="5"/>
        <v>-5.402901840099858</v>
      </c>
      <c r="AN154" s="75">
        <f t="shared" si="6"/>
        <v>-89.86608446332541</v>
      </c>
      <c r="AO154" s="74">
        <f t="shared" si="7"/>
        <v>-67.76636295649182</v>
      </c>
      <c r="AP154" s="74">
        <f t="shared" si="8"/>
        <v>90.91433191626459</v>
      </c>
      <c r="AQ154" s="74">
        <f t="shared" si="9"/>
        <v>-73.16926479659168</v>
      </c>
      <c r="AR154" s="75">
        <f t="shared" si="9"/>
        <v>1.0482474529391794</v>
      </c>
    </row>
    <row r="155" spans="38:44" ht="27.75">
      <c r="AL155" s="73">
        <v>999.99999999999</v>
      </c>
      <c r="AM155" s="74">
        <f t="shared" si="5"/>
        <v>-6.402893075846718</v>
      </c>
      <c r="AN155" s="75">
        <f t="shared" si="6"/>
        <v>-89.88561186393378</v>
      </c>
      <c r="AO155" s="74">
        <f t="shared" si="7"/>
        <v>-68.76605089760156</v>
      </c>
      <c r="AP155" s="74">
        <f t="shared" si="8"/>
        <v>90.81492283665868</v>
      </c>
      <c r="AQ155" s="74">
        <f t="shared" si="9"/>
        <v>-75.16894397344828</v>
      </c>
      <c r="AR155" s="75">
        <f t="shared" si="9"/>
        <v>0.929310972724906</v>
      </c>
    </row>
    <row r="156" spans="38:44" ht="27.75">
      <c r="AL156" s="73">
        <v>1122.0184543019527</v>
      </c>
      <c r="AM156" s="74">
        <f t="shared" si="5"/>
        <v>-7.402886114140395</v>
      </c>
      <c r="AN156" s="75">
        <f t="shared" si="6"/>
        <v>-89.90301570948603</v>
      </c>
      <c r="AO156" s="74">
        <f t="shared" si="7"/>
        <v>-69.76580300362252</v>
      </c>
      <c r="AP156" s="74">
        <f t="shared" si="8"/>
        <v>90.72631749296347</v>
      </c>
      <c r="AQ156" s="74">
        <f t="shared" si="9"/>
        <v>-77.16868911776292</v>
      </c>
      <c r="AR156" s="75">
        <f t="shared" si="9"/>
        <v>0.8233017834774472</v>
      </c>
    </row>
    <row r="157" spans="38:44" ht="27.75">
      <c r="AL157" s="73">
        <v>1258.9254117941546</v>
      </c>
      <c r="AM157" s="74">
        <f t="shared" si="5"/>
        <v>-8.40288058425254</v>
      </c>
      <c r="AN157" s="75">
        <f t="shared" si="6"/>
        <v>-89.91852692541998</v>
      </c>
      <c r="AO157" s="74">
        <f t="shared" si="7"/>
        <v>-70.76560608383969</v>
      </c>
      <c r="AP157" s="74">
        <f t="shared" si="8"/>
        <v>90.64734300603027</v>
      </c>
      <c r="AQ157" s="74">
        <f t="shared" si="9"/>
        <v>-79.16848666809223</v>
      </c>
      <c r="AR157" s="75">
        <f t="shared" si="9"/>
        <v>0.7288160806102866</v>
      </c>
    </row>
    <row r="158" spans="38:44" ht="27.75">
      <c r="AL158" s="73">
        <v>1412.5375446227395</v>
      </c>
      <c r="AM158" s="74">
        <f t="shared" si="5"/>
        <v>-9.402876191701461</v>
      </c>
      <c r="AN158" s="75">
        <f t="shared" si="6"/>
        <v>-89.93235132693052</v>
      </c>
      <c r="AO158" s="74">
        <f t="shared" si="7"/>
        <v>-71.76544965820993</v>
      </c>
      <c r="AP158" s="74">
        <f t="shared" si="8"/>
        <v>90.57695345740062</v>
      </c>
      <c r="AQ158" s="74">
        <f t="shared" si="9"/>
        <v>-81.1683258499114</v>
      </c>
      <c r="AR158" s="75">
        <f t="shared" si="9"/>
        <v>0.6446021304701048</v>
      </c>
    </row>
    <row r="159" spans="38:44" ht="27.75">
      <c r="AL159" s="73">
        <v>1584.893192461096</v>
      </c>
      <c r="AM159" s="74">
        <f t="shared" si="5"/>
        <v>-10.402872702570951</v>
      </c>
      <c r="AN159" s="75">
        <f t="shared" si="6"/>
        <v>-89.94467234890159</v>
      </c>
      <c r="AO159" s="74">
        <f t="shared" si="7"/>
        <v>-72.76532540069651</v>
      </c>
      <c r="AP159" s="74">
        <f t="shared" si="8"/>
        <v>90.51421625430498</v>
      </c>
      <c r="AQ159" s="74">
        <f t="shared" si="9"/>
        <v>-83.16819810326746</v>
      </c>
      <c r="AR159" s="75">
        <f t="shared" si="9"/>
        <v>0.5695439054033926</v>
      </c>
    </row>
    <row r="160" spans="38:44" ht="27.75">
      <c r="AL160" s="73">
        <v>1778.2794100389024</v>
      </c>
      <c r="AM160" s="74">
        <f t="shared" si="5"/>
        <v>-11.402869931054074</v>
      </c>
      <c r="AN160" s="75">
        <f t="shared" si="6"/>
        <v>-89.95565347918969</v>
      </c>
      <c r="AO160" s="74">
        <f t="shared" si="7"/>
        <v>-73.765226696783</v>
      </c>
      <c r="AP160" s="74">
        <f t="shared" si="8"/>
        <v>90.45829992731322</v>
      </c>
      <c r="AQ160" s="74">
        <f t="shared" si="9"/>
        <v>-85.16809662783707</v>
      </c>
      <c r="AR160" s="75">
        <f t="shared" si="9"/>
        <v>0.502646448123528</v>
      </c>
    </row>
    <row r="161" spans="38:44" ht="27.75">
      <c r="AL161" s="73">
        <v>1995.2623149688557</v>
      </c>
      <c r="AM161" s="74">
        <f t="shared" si="5"/>
        <v>-12.402867729558704</v>
      </c>
      <c r="AN161" s="75">
        <f t="shared" si="6"/>
        <v>-89.96544042745184</v>
      </c>
      <c r="AO161" s="74">
        <f t="shared" si="7"/>
        <v>-74.76514829179779</v>
      </c>
      <c r="AP161" s="74">
        <f t="shared" si="8"/>
        <v>90.40846321945968</v>
      </c>
      <c r="AQ161" s="74">
        <f t="shared" si="9"/>
        <v>-87.1680160213565</v>
      </c>
      <c r="AR161" s="75">
        <f t="shared" si="9"/>
        <v>0.443022792007838</v>
      </c>
    </row>
    <row r="162" spans="38:44" ht="27.75">
      <c r="AL162" s="73">
        <v>2238.7211385683117</v>
      </c>
      <c r="AM162" s="74">
        <f t="shared" si="5"/>
        <v>-13.402865980847977</v>
      </c>
      <c r="AN162" s="75">
        <f t="shared" si="6"/>
        <v>-89.97416305823015</v>
      </c>
      <c r="AO162" s="74">
        <f t="shared" si="7"/>
        <v>-75.76508601144437</v>
      </c>
      <c r="AP162" s="74">
        <f t="shared" si="8"/>
        <v>90.36404533675821</v>
      </c>
      <c r="AQ162" s="74">
        <f t="shared" si="9"/>
        <v>-89.16795199229234</v>
      </c>
      <c r="AR162" s="75">
        <f t="shared" si="9"/>
        <v>0.3898822785280629</v>
      </c>
    </row>
    <row r="163" spans="38:44" ht="27.75">
      <c r="AL163" s="73">
        <v>2511.8864315095475</v>
      </c>
      <c r="AM163" s="74">
        <f t="shared" si="5"/>
        <v>-14.402864591797169</v>
      </c>
      <c r="AN163" s="75">
        <f t="shared" si="6"/>
        <v>-89.98193711389649</v>
      </c>
      <c r="AO163" s="74">
        <f t="shared" si="7"/>
        <v>-76.76503653973236</v>
      </c>
      <c r="AP163" s="74">
        <f t="shared" si="8"/>
        <v>90.32445724114727</v>
      </c>
      <c r="AQ163" s="74">
        <f t="shared" si="9"/>
        <v>-91.16790113152953</v>
      </c>
      <c r="AR163" s="75">
        <f t="shared" si="9"/>
        <v>0.3425201272507792</v>
      </c>
    </row>
    <row r="164" spans="38:44" ht="27.75">
      <c r="AL164" s="73">
        <v>2818.382931264416</v>
      </c>
      <c r="AM164" s="74">
        <f aca="true" t="shared" si="10" ref="AM164:AM195">20*LOG10(D$62/SQRT(1+(AL164/D$58)^2))</f>
        <v>-15.402863488434576</v>
      </c>
      <c r="AN164" s="75">
        <f aca="true" t="shared" si="11" ref="AN164:AN195">-(180/3.14)*ATAN(AL164/D$58)</f>
        <v>-89.98886575028604</v>
      </c>
      <c r="AO164" s="74">
        <f aca="true" t="shared" si="12" ref="AO164:AO195">-20*LOG10(AL164/D$59)+20*LOG10(SQRT(1+(AL164/D$60)^2))-20*LOG10(SQRT(1+(AL164/D$61)^2))</f>
        <v>-77.76499724253271</v>
      </c>
      <c r="AP164" s="74">
        <f aca="true" t="shared" si="13" ref="AP164:AP195">-90+(180/3.14)*ATAN(AL164/D$60)-(180/3.14)*ATAN(AL164/D$61)+180</f>
        <v>90.2891738777019</v>
      </c>
      <c r="AQ164" s="74">
        <f aca="true" t="shared" si="14" ref="AQ164:AR195">AM164+AO164</f>
        <v>-93.16786073096729</v>
      </c>
      <c r="AR164" s="75">
        <f t="shared" si="14"/>
        <v>0.3003081274158603</v>
      </c>
    </row>
    <row r="165" spans="38:44" ht="27.75">
      <c r="AL165" s="73">
        <v>3162.2776601683354</v>
      </c>
      <c r="AM165" s="74">
        <f t="shared" si="10"/>
        <v>-16.402862612002316</v>
      </c>
      <c r="AN165" s="75">
        <f t="shared" si="11"/>
        <v>-89.99504090537262</v>
      </c>
      <c r="AO165" s="74">
        <f t="shared" si="12"/>
        <v>-78.76496602739121</v>
      </c>
      <c r="AP165" s="74">
        <f t="shared" si="13"/>
        <v>90.2577272381945</v>
      </c>
      <c r="AQ165" s="74">
        <f t="shared" si="14"/>
        <v>-95.16782863939352</v>
      </c>
      <c r="AR165" s="75">
        <f t="shared" si="14"/>
        <v>0.262686332821886</v>
      </c>
    </row>
    <row r="166" spans="38:44" ht="27.75">
      <c r="AL166" s="73">
        <v>3548.1338923357034</v>
      </c>
      <c r="AM166" s="74">
        <f t="shared" si="10"/>
        <v>-17.402861915827295</v>
      </c>
      <c r="AN166" s="75">
        <f t="shared" si="11"/>
        <v>-90.00054451913093</v>
      </c>
      <c r="AO166" s="74">
        <f t="shared" si="12"/>
        <v>-79.76494123215497</v>
      </c>
      <c r="AP166" s="74">
        <f t="shared" si="13"/>
        <v>90.22970017266063</v>
      </c>
      <c r="AQ166" s="74">
        <f t="shared" si="14"/>
        <v>-97.16780314798226</v>
      </c>
      <c r="AR166" s="75">
        <f t="shared" si="14"/>
        <v>0.2291556535297019</v>
      </c>
    </row>
    <row r="167" spans="38:44" ht="27.75">
      <c r="AL167" s="73">
        <v>3981.0717055349132</v>
      </c>
      <c r="AM167" s="74">
        <f t="shared" si="10"/>
        <v>-18.402861362835743</v>
      </c>
      <c r="AN167" s="75">
        <f t="shared" si="11"/>
        <v>-90.00544962076002</v>
      </c>
      <c r="AO167" s="74">
        <f t="shared" si="12"/>
        <v>-80.76492153649272</v>
      </c>
      <c r="AP167" s="74">
        <f t="shared" si="13"/>
        <v>90.20472086947164</v>
      </c>
      <c r="AQ167" s="74">
        <f t="shared" si="14"/>
        <v>-99.16778289932847</v>
      </c>
      <c r="AR167" s="75">
        <f t="shared" si="14"/>
        <v>0.19927124871162505</v>
      </c>
    </row>
    <row r="168" spans="38:44" ht="27.75">
      <c r="AL168" s="73">
        <v>4466.8359215095625</v>
      </c>
      <c r="AM168" s="74">
        <f t="shared" si="10"/>
        <v>-19.40286092357889</v>
      </c>
      <c r="AN168" s="75">
        <f t="shared" si="11"/>
        <v>-90.0098212976869</v>
      </c>
      <c r="AO168" s="74">
        <f t="shared" si="12"/>
        <v>-81.76490589160522</v>
      </c>
      <c r="AP168" s="74">
        <f t="shared" si="13"/>
        <v>90.18245793252278</v>
      </c>
      <c r="AQ168" s="74">
        <f t="shared" si="14"/>
        <v>-101.16776681518411</v>
      </c>
      <c r="AR168" s="75">
        <f t="shared" si="14"/>
        <v>0.17263663483588232</v>
      </c>
    </row>
    <row r="169" spans="38:44" ht="27.75">
      <c r="AL169" s="73">
        <v>5011.872336272643</v>
      </c>
      <c r="AM169" s="74">
        <f t="shared" si="10"/>
        <v>-20.402860574664736</v>
      </c>
      <c r="AN169" s="75">
        <f t="shared" si="11"/>
        <v>-90.01371755920198</v>
      </c>
      <c r="AO169" s="74">
        <f t="shared" si="12"/>
        <v>-82.76489346438714</v>
      </c>
      <c r="AP169" s="74">
        <f t="shared" si="13"/>
        <v>90.16261599152708</v>
      </c>
      <c r="AQ169" s="74">
        <f t="shared" si="14"/>
        <v>-103.16775403905189</v>
      </c>
      <c r="AR169" s="75">
        <f t="shared" si="14"/>
        <v>0.14889843232509747</v>
      </c>
    </row>
    <row r="170" spans="38:44" ht="27.75">
      <c r="AL170" s="73">
        <v>5623.413251903399</v>
      </c>
      <c r="AM170" s="74">
        <f t="shared" si="10"/>
        <v>-21.402860297512344</v>
      </c>
      <c r="AN170" s="75">
        <f t="shared" si="11"/>
        <v>-90.01719010618226</v>
      </c>
      <c r="AO170" s="74">
        <f t="shared" si="12"/>
        <v>-83.76488359307032</v>
      </c>
      <c r="AP170" s="74">
        <f t="shared" si="13"/>
        <v>90.1449317880956</v>
      </c>
      <c r="AQ170" s="74">
        <f t="shared" si="14"/>
        <v>-105.16774389058267</v>
      </c>
      <c r="AR170" s="75">
        <f t="shared" si="14"/>
        <v>0.12774168191334923</v>
      </c>
    </row>
    <row r="171" spans="38:44" ht="27.75">
      <c r="AL171" s="73">
        <v>6309.573444801827</v>
      </c>
      <c r="AM171" s="74">
        <f t="shared" si="10"/>
        <v>-22.40286007736237</v>
      </c>
      <c r="AN171" s="75">
        <f t="shared" si="11"/>
        <v>-90.02028501711293</v>
      </c>
      <c r="AO171" s="74">
        <f t="shared" si="12"/>
        <v>-84.76487575198786</v>
      </c>
      <c r="AP171" s="74">
        <f t="shared" si="13"/>
        <v>90.12917068632744</v>
      </c>
      <c r="AQ171" s="74">
        <f t="shared" si="14"/>
        <v>-107.16773582935022</v>
      </c>
      <c r="AR171" s="75">
        <f t="shared" si="14"/>
        <v>0.1088856692145157</v>
      </c>
    </row>
    <row r="172" spans="38:44" ht="27.75">
      <c r="AL172" s="73">
        <v>7079.45784384127</v>
      </c>
      <c r="AM172" s="74">
        <f t="shared" si="10"/>
        <v>-23.40285990249103</v>
      </c>
      <c r="AN172" s="75">
        <f t="shared" si="11"/>
        <v>-90.02304335950852</v>
      </c>
      <c r="AO172" s="74">
        <f t="shared" si="12"/>
        <v>-85.76486952358407</v>
      </c>
      <c r="AP172" s="74">
        <f t="shared" si="13"/>
        <v>90.1151235620728</v>
      </c>
      <c r="AQ172" s="74">
        <f t="shared" si="14"/>
        <v>-109.1677294260751</v>
      </c>
      <c r="AR172" s="75">
        <f t="shared" si="14"/>
        <v>0.09208020256427574</v>
      </c>
    </row>
    <row r="173" spans="38:44" ht="27.75">
      <c r="AL173" s="73">
        <v>7943.282347242688</v>
      </c>
      <c r="AM173" s="74">
        <f t="shared" si="10"/>
        <v>-24.40285976358577</v>
      </c>
      <c r="AN173" s="75">
        <f t="shared" si="11"/>
        <v>-90.0255017348449</v>
      </c>
      <c r="AO173" s="74">
        <f t="shared" si="12"/>
        <v>-86.76486457618037</v>
      </c>
      <c r="AP173" s="74">
        <f t="shared" si="13"/>
        <v>90.10260402992162</v>
      </c>
      <c r="AQ173" s="74">
        <f t="shared" si="14"/>
        <v>-111.16772433976614</v>
      </c>
      <c r="AR173" s="75">
        <f t="shared" si="14"/>
        <v>0.0771022950767275</v>
      </c>
    </row>
    <row r="174" spans="38:44" ht="27.75">
      <c r="AL174" s="73">
        <v>8912.50938133731</v>
      </c>
      <c r="AM174" s="74">
        <f t="shared" si="10"/>
        <v>-25.4028596532494</v>
      </c>
      <c r="AN174" s="75">
        <f t="shared" si="11"/>
        <v>-90.02769276423246</v>
      </c>
      <c r="AO174" s="74">
        <f t="shared" si="12"/>
        <v>-87.7648606463137</v>
      </c>
      <c r="AP174" s="74">
        <f t="shared" si="13"/>
        <v>90.09144597135528</v>
      </c>
      <c r="AQ174" s="74">
        <f t="shared" si="14"/>
        <v>-113.16772029956311</v>
      </c>
      <c r="AR174" s="75">
        <f t="shared" si="14"/>
        <v>0.06375320712282928</v>
      </c>
    </row>
    <row r="175" spans="38:44" ht="27.75">
      <c r="AL175" s="73">
        <v>9999.99999999983</v>
      </c>
      <c r="AM175" s="74">
        <f t="shared" si="10"/>
        <v>-26.4028595656061</v>
      </c>
      <c r="AN175" s="75">
        <f t="shared" si="11"/>
        <v>-90.02964552127402</v>
      </c>
      <c r="AO175" s="74">
        <f t="shared" si="12"/>
        <v>-88.764857524707</v>
      </c>
      <c r="AP175" s="74">
        <f t="shared" si="13"/>
        <v>90.08150133142652</v>
      </c>
      <c r="AQ175" s="74">
        <f t="shared" si="14"/>
        <v>-115.16771709031309</v>
      </c>
      <c r="AR175" s="75">
        <f t="shared" si="14"/>
        <v>0.05185581015250307</v>
      </c>
    </row>
    <row r="176" spans="38:44" ht="27.75">
      <c r="AL176" s="73">
        <v>11220.184543019439</v>
      </c>
      <c r="AM176" s="74">
        <f t="shared" si="10"/>
        <v>-27.40285949598855</v>
      </c>
      <c r="AN176" s="75">
        <f t="shared" si="11"/>
        <v>-90.03138591785067</v>
      </c>
      <c r="AO176" s="74">
        <f t="shared" si="12"/>
        <v>-89.76485504512499</v>
      </c>
      <c r="AP176" s="74">
        <f t="shared" si="13"/>
        <v>90.07263815484843</v>
      </c>
      <c r="AQ176" s="74">
        <f t="shared" si="14"/>
        <v>-117.16771454111354</v>
      </c>
      <c r="AR176" s="75">
        <f t="shared" si="14"/>
        <v>0.0412522369977637</v>
      </c>
    </row>
    <row r="177" spans="38:44" ht="27.75">
      <c r="AL177" s="73">
        <v>12589.254117941447</v>
      </c>
      <c r="AM177" s="74">
        <f t="shared" si="10"/>
        <v>-28.402859440689365</v>
      </c>
      <c r="AN177" s="75">
        <f t="shared" si="11"/>
        <v>-90.03293704795463</v>
      </c>
      <c r="AO177" s="74">
        <f t="shared" si="12"/>
        <v>-90.7648530755219</v>
      </c>
      <c r="AP177" s="74">
        <f t="shared" si="13"/>
        <v>90.0647388355149</v>
      </c>
      <c r="AQ177" s="74">
        <f t="shared" si="14"/>
        <v>-119.16771251621127</v>
      </c>
      <c r="AR177" s="75">
        <f t="shared" si="14"/>
        <v>0.03180178756026919</v>
      </c>
    </row>
    <row r="178" spans="38:44" ht="27.75">
      <c r="AL178" s="73">
        <v>14125.375446227285</v>
      </c>
      <c r="AM178" s="74">
        <f t="shared" si="10"/>
        <v>-29.40285939676366</v>
      </c>
      <c r="AN178" s="75">
        <f t="shared" si="11"/>
        <v>-90.03431949413068</v>
      </c>
      <c r="AO178" s="74">
        <f t="shared" si="12"/>
        <v>-91.76485151100991</v>
      </c>
      <c r="AP178" s="74">
        <f t="shared" si="13"/>
        <v>90.05769855628392</v>
      </c>
      <c r="AQ178" s="74">
        <f t="shared" si="14"/>
        <v>-121.16771090777357</v>
      </c>
      <c r="AR178" s="75">
        <f t="shared" si="14"/>
        <v>0.02337906215323926</v>
      </c>
    </row>
    <row r="179" spans="38:44" ht="27.75">
      <c r="AL179" s="73">
        <v>15848.931924610837</v>
      </c>
      <c r="AM179" s="74">
        <f t="shared" si="10"/>
        <v>-30.402859361872228</v>
      </c>
      <c r="AN179" s="75">
        <f t="shared" si="11"/>
        <v>-90.03555160059318</v>
      </c>
      <c r="AO179" s="74">
        <f t="shared" si="12"/>
        <v>-92.76485026827342</v>
      </c>
      <c r="AP179" s="74">
        <f t="shared" si="13"/>
        <v>90.05142389836206</v>
      </c>
      <c r="AQ179" s="74">
        <f t="shared" si="14"/>
        <v>-123.16770963014565</v>
      </c>
      <c r="AR179" s="75">
        <f t="shared" si="14"/>
        <v>0.015872297768879662</v>
      </c>
    </row>
    <row r="180" spans="38:44" ht="27.75">
      <c r="AL180" s="73">
        <v>17782.794100388885</v>
      </c>
      <c r="AM180" s="74">
        <f t="shared" si="10"/>
        <v>-31.402859334156975</v>
      </c>
      <c r="AN180" s="75">
        <f t="shared" si="11"/>
        <v>-90.03664971664166</v>
      </c>
      <c r="AO180" s="74">
        <f t="shared" si="12"/>
        <v>-93.76484928113248</v>
      </c>
      <c r="AP180" s="74">
        <f t="shared" si="13"/>
        <v>90.04583160186645</v>
      </c>
      <c r="AQ180" s="74">
        <f t="shared" si="14"/>
        <v>-125.16770861528946</v>
      </c>
      <c r="AR180" s="75">
        <f t="shared" si="14"/>
        <v>0.009181885224791131</v>
      </c>
    </row>
    <row r="181" spans="38:44" ht="27.75">
      <c r="AL181" s="73">
        <v>19952.623149688403</v>
      </c>
      <c r="AM181" s="74">
        <f t="shared" si="10"/>
        <v>-32.40285931214197</v>
      </c>
      <c r="AN181" s="75">
        <f t="shared" si="11"/>
        <v>-90.03762841360563</v>
      </c>
      <c r="AO181" s="74">
        <f t="shared" si="12"/>
        <v>-94.76484849701839</v>
      </c>
      <c r="AP181" s="74">
        <f t="shared" si="13"/>
        <v>90.04084746113921</v>
      </c>
      <c r="AQ181" s="74">
        <f t="shared" si="14"/>
        <v>-127.16770780916036</v>
      </c>
      <c r="AR181" s="75">
        <f t="shared" si="14"/>
        <v>0.0032190475335767132</v>
      </c>
    </row>
    <row r="182" spans="38:44" ht="27.75">
      <c r="AL182" s="73">
        <v>22387.211385682942</v>
      </c>
      <c r="AM182" s="74">
        <f t="shared" si="10"/>
        <v>-33.40285929465483</v>
      </c>
      <c r="AN182" s="75">
        <f t="shared" si="11"/>
        <v>-90.03850067819688</v>
      </c>
      <c r="AO182" s="74">
        <f t="shared" si="12"/>
        <v>-95.76484787417434</v>
      </c>
      <c r="AP182" s="74">
        <f t="shared" si="13"/>
        <v>90.0364053401701</v>
      </c>
      <c r="AQ182" s="74">
        <f t="shared" si="14"/>
        <v>-129.16770716882917</v>
      </c>
      <c r="AR182" s="75">
        <f t="shared" si="14"/>
        <v>-0.0020953380267769717</v>
      </c>
    </row>
    <row r="183" spans="38:44" ht="27.75">
      <c r="AL183" s="73">
        <v>25118.86431509528</v>
      </c>
      <c r="AM183" s="74">
        <f t="shared" si="10"/>
        <v>-34.4028592807643</v>
      </c>
      <c r="AN183" s="75">
        <f t="shared" si="11"/>
        <v>-90.03927808483493</v>
      </c>
      <c r="AO183" s="74">
        <f t="shared" si="12"/>
        <v>-96.76484737943164</v>
      </c>
      <c r="AP183" s="74">
        <f t="shared" si="13"/>
        <v>90.032446295073</v>
      </c>
      <c r="AQ183" s="74">
        <f t="shared" si="14"/>
        <v>-131.16770666019593</v>
      </c>
      <c r="AR183" s="75">
        <f t="shared" si="14"/>
        <v>-0.0068317897619323276</v>
      </c>
    </row>
    <row r="184" spans="38:44" ht="27.75">
      <c r="AL184" s="73">
        <v>28183.829312643942</v>
      </c>
      <c r="AM184" s="74">
        <f t="shared" si="10"/>
        <v>-35.402859269730655</v>
      </c>
      <c r="AN184" s="75">
        <f t="shared" si="11"/>
        <v>-90.0399709492324</v>
      </c>
      <c r="AO184" s="74">
        <f t="shared" si="12"/>
        <v>-97.76484698644349</v>
      </c>
      <c r="AP184" s="74">
        <f t="shared" si="13"/>
        <v>90.02891779197998</v>
      </c>
      <c r="AQ184" s="74">
        <f t="shared" si="14"/>
        <v>-133.16770625617414</v>
      </c>
      <c r="AR184" s="75">
        <f t="shared" si="14"/>
        <v>-0.01105315725241951</v>
      </c>
    </row>
    <row r="185" spans="38:44" ht="27.75">
      <c r="AL185" s="73">
        <v>31622.77660168311</v>
      </c>
      <c r="AM185" s="74">
        <f t="shared" si="10"/>
        <v>-36.40285926096632</v>
      </c>
      <c r="AN185" s="75">
        <f t="shared" si="11"/>
        <v>-90.04058846527803</v>
      </c>
      <c r="AO185" s="74">
        <f t="shared" si="12"/>
        <v>-98.7648466742819</v>
      </c>
      <c r="AP185" s="74">
        <f t="shared" si="13"/>
        <v>90.02577300997936</v>
      </c>
      <c r="AQ185" s="74">
        <f t="shared" si="14"/>
        <v>-135.16770593524822</v>
      </c>
      <c r="AR185" s="75">
        <f t="shared" si="14"/>
        <v>-0.014815455298673896</v>
      </c>
    </row>
    <row r="186" spans="38:44" ht="27.75">
      <c r="AL186" s="73">
        <v>35481.33892335676</v>
      </c>
      <c r="AM186" s="74">
        <f t="shared" si="10"/>
        <v>-37.40285925400456</v>
      </c>
      <c r="AN186" s="75">
        <f t="shared" si="11"/>
        <v>-90.04113882703402</v>
      </c>
      <c r="AO186" s="74">
        <f t="shared" si="12"/>
        <v>-99.76484642632312</v>
      </c>
      <c r="AP186" s="74">
        <f t="shared" si="13"/>
        <v>90.02297021985248</v>
      </c>
      <c r="AQ186" s="74">
        <f t="shared" si="14"/>
        <v>-137.16770568032769</v>
      </c>
      <c r="AR186" s="75">
        <f t="shared" si="14"/>
        <v>-0.018168607181536345</v>
      </c>
    </row>
    <row r="187" spans="38:44" ht="27.75">
      <c r="AL187" s="73">
        <v>39810.717055348825</v>
      </c>
      <c r="AM187" s="74">
        <f t="shared" si="10"/>
        <v>-38.40285924847464</v>
      </c>
      <c r="AN187" s="75">
        <f t="shared" si="11"/>
        <v>-90.04162933746606</v>
      </c>
      <c r="AO187" s="74">
        <f t="shared" si="12"/>
        <v>-100.76484622936243</v>
      </c>
      <c r="AP187" s="74">
        <f t="shared" si="13"/>
        <v>90.02047223036777</v>
      </c>
      <c r="AQ187" s="74">
        <f t="shared" si="14"/>
        <v>-139.16770547783707</v>
      </c>
      <c r="AR187" s="75">
        <f t="shared" si="14"/>
        <v>-0.021157107098289885</v>
      </c>
    </row>
    <row r="188" spans="38:44" ht="27.75">
      <c r="AL188" s="73">
        <v>44668.35921509528</v>
      </c>
      <c r="AM188" s="74">
        <f t="shared" si="10"/>
        <v>-39.402859244082066</v>
      </c>
      <c r="AN188" s="75">
        <f t="shared" si="11"/>
        <v>-90.04206650534928</v>
      </c>
      <c r="AO188" s="74">
        <f t="shared" si="12"/>
        <v>-101.76484607291101</v>
      </c>
      <c r="AP188" s="74">
        <f t="shared" si="13"/>
        <v>90.01824589478653</v>
      </c>
      <c r="AQ188" s="74">
        <f t="shared" si="14"/>
        <v>-141.16770531699308</v>
      </c>
      <c r="AR188" s="75">
        <f t="shared" si="14"/>
        <v>-0.0238206105627512</v>
      </c>
    </row>
    <row r="189" spans="38:44" ht="27.75">
      <c r="AL189" s="73">
        <v>50118.72336272604</v>
      </c>
      <c r="AM189" s="74">
        <f t="shared" si="10"/>
        <v>-40.40285924059292</v>
      </c>
      <c r="AN189" s="75">
        <f t="shared" si="11"/>
        <v>-90.04245613163567</v>
      </c>
      <c r="AO189" s="74">
        <f t="shared" si="12"/>
        <v>-102.76484594863719</v>
      </c>
      <c r="AP189" s="74">
        <f t="shared" si="13"/>
        <v>90.01626167103356</v>
      </c>
      <c r="AQ189" s="74">
        <f t="shared" si="14"/>
        <v>-143.1677051892301</v>
      </c>
      <c r="AR189" s="75">
        <f t="shared" si="14"/>
        <v>-0.026194460602113168</v>
      </c>
    </row>
    <row r="190" spans="38:44" ht="27.75">
      <c r="AL190" s="73">
        <v>56234.132519033556</v>
      </c>
      <c r="AM190" s="74">
        <f t="shared" si="10"/>
        <v>-41.40285923782139</v>
      </c>
      <c r="AN190" s="75">
        <f t="shared" si="11"/>
        <v>-90.04280338642918</v>
      </c>
      <c r="AO190" s="74">
        <f t="shared" si="12"/>
        <v>-103.76484584992299</v>
      </c>
      <c r="AP190" s="74">
        <f t="shared" si="13"/>
        <v>90.0144932296974</v>
      </c>
      <c r="AQ190" s="74">
        <f t="shared" si="14"/>
        <v>-145.16770508774437</v>
      </c>
      <c r="AR190" s="75">
        <f t="shared" si="14"/>
        <v>-0.02831015673179138</v>
      </c>
    </row>
    <row r="191" spans="38:44" ht="27.75">
      <c r="AL191" s="73">
        <v>63095.73444801778</v>
      </c>
      <c r="AM191" s="74">
        <f t="shared" si="10"/>
        <v>-42.402859235619886</v>
      </c>
      <c r="AN191" s="75">
        <f t="shared" si="11"/>
        <v>-90.04311287758985</v>
      </c>
      <c r="AO191" s="74">
        <f t="shared" si="12"/>
        <v>-104.76484577151153</v>
      </c>
      <c r="AP191" s="74">
        <f t="shared" si="13"/>
        <v>90.01291710465861</v>
      </c>
      <c r="AQ191" s="74">
        <f t="shared" si="14"/>
        <v>-147.16770500713142</v>
      </c>
      <c r="AR191" s="75">
        <f t="shared" si="14"/>
        <v>-0.03019577293123632</v>
      </c>
    </row>
    <row r="192" spans="38:44" ht="27.75">
      <c r="AL192" s="73">
        <v>70794.57843841202</v>
      </c>
      <c r="AM192" s="74">
        <f t="shared" si="10"/>
        <v>-43.40285923387117</v>
      </c>
      <c r="AN192" s="75">
        <f t="shared" si="11"/>
        <v>-90.04338871187727</v>
      </c>
      <c r="AO192" s="74">
        <f t="shared" si="12"/>
        <v>-105.76484570922709</v>
      </c>
      <c r="AP192" s="74">
        <f t="shared" si="13"/>
        <v>90.01151238171165</v>
      </c>
      <c r="AQ192" s="74">
        <f t="shared" si="14"/>
        <v>-149.16770494309827</v>
      </c>
      <c r="AR192" s="75">
        <f t="shared" si="14"/>
        <v>-0.031876330165616196</v>
      </c>
    </row>
    <row r="193" spans="38:44" ht="27.75">
      <c r="AL193" s="73">
        <v>79432.82347242613</v>
      </c>
      <c r="AM193" s="74">
        <f t="shared" si="10"/>
        <v>-44.40285923248211</v>
      </c>
      <c r="AN193" s="75">
        <f t="shared" si="11"/>
        <v>-90.04363454944479</v>
      </c>
      <c r="AO193" s="74">
        <f t="shared" si="12"/>
        <v>-106.76484565975278</v>
      </c>
      <c r="AP193" s="74">
        <f t="shared" si="13"/>
        <v>90.0102604210479</v>
      </c>
      <c r="AQ193" s="74">
        <f t="shared" si="14"/>
        <v>-151.1677048922349</v>
      </c>
      <c r="AR193" s="75">
        <f t="shared" si="14"/>
        <v>-0.03337412839688625</v>
      </c>
    </row>
    <row r="194" spans="38:44" ht="27.75">
      <c r="AL194" s="73">
        <v>89125.09381337224</v>
      </c>
      <c r="AM194" s="74">
        <f t="shared" si="10"/>
        <v>-45.40285923137874</v>
      </c>
      <c r="AN194" s="75">
        <f t="shared" si="11"/>
        <v>-90.04385365240753</v>
      </c>
      <c r="AO194" s="74">
        <f t="shared" si="12"/>
        <v>-107.76484562045397</v>
      </c>
      <c r="AP194" s="74">
        <f t="shared" si="13"/>
        <v>90.00914460991804</v>
      </c>
      <c r="AQ194" s="74">
        <f t="shared" si="14"/>
        <v>-153.1677048518327</v>
      </c>
      <c r="AR194" s="75">
        <f t="shared" si="14"/>
        <v>-0.0347090424894958</v>
      </c>
    </row>
    <row r="195" spans="38:44" ht="27.75">
      <c r="AL195" s="73">
        <v>99999.99999999753</v>
      </c>
      <c r="AM195" s="74">
        <f t="shared" si="10"/>
        <v>-46.40285923050232</v>
      </c>
      <c r="AN195" s="75">
        <f t="shared" si="11"/>
        <v>-90.04404892812866</v>
      </c>
      <c r="AO195" s="74">
        <f t="shared" si="12"/>
        <v>-108.76484558923778</v>
      </c>
      <c r="AP195" s="74">
        <f t="shared" si="13"/>
        <v>90.00815014219197</v>
      </c>
      <c r="AQ195" s="74">
        <f t="shared" si="14"/>
        <v>-155.1677048197401</v>
      </c>
      <c r="AR195" s="75">
        <f t="shared" si="14"/>
        <v>-0.03589878593669482</v>
      </c>
    </row>
  </sheetData>
  <sheetProtection/>
  <mergeCells count="3">
    <mergeCell ref="AM30:AN30"/>
    <mergeCell ref="AO30:AP30"/>
    <mergeCell ref="AQ30:AR30"/>
  </mergeCells>
  <conditionalFormatting sqref="D9">
    <cfRule type="cellIs" priority="21" dxfId="2" operator="lessThan" stopIfTrue="1">
      <formula>$D$8*1.414</formula>
    </cfRule>
  </conditionalFormatting>
  <conditionalFormatting sqref="D10">
    <cfRule type="cellIs" priority="20" dxfId="2" operator="notBetween" stopIfTrue="1">
      <formula>50</formula>
      <formula>100</formula>
    </cfRule>
  </conditionalFormatting>
  <conditionalFormatting sqref="D17">
    <cfRule type="cellIs" priority="19" dxfId="2" operator="notBetween" stopIfTrue="1">
      <formula>30</formula>
      <formula>90</formula>
    </cfRule>
  </conditionalFormatting>
  <conditionalFormatting sqref="D16">
    <cfRule type="cellIs" priority="18" dxfId="2" operator="notBetween" stopIfTrue="1">
      <formula>$D$6/25</formula>
      <formula>"$D$6"</formula>
    </cfRule>
  </conditionalFormatting>
  <conditionalFormatting sqref="D24">
    <cfRule type="cellIs" priority="17" dxfId="2" operator="lessThanOrEqual" stopIfTrue="1">
      <formula>$D$23</formula>
    </cfRule>
  </conditionalFormatting>
  <conditionalFormatting sqref="D27">
    <cfRule type="cellIs" priority="16" dxfId="2" operator="greaterThan" stopIfTrue="1">
      <formula>$D$26*0.75</formula>
    </cfRule>
  </conditionalFormatting>
  <conditionalFormatting sqref="D31">
    <cfRule type="cellIs" priority="15" dxfId="2" operator="notBetween" stopIfTrue="1">
      <formula>8</formula>
      <formula>12</formula>
    </cfRule>
  </conditionalFormatting>
  <conditionalFormatting sqref="D34">
    <cfRule type="cellIs" priority="14" dxfId="2" operator="greaterThan" stopIfTrue="1">
      <formula>50</formula>
    </cfRule>
  </conditionalFormatting>
  <conditionalFormatting sqref="D39">
    <cfRule type="cellIs" priority="13" dxfId="2" operator="lessThan" stopIfTrue="1">
      <formula>20</formula>
    </cfRule>
  </conditionalFormatting>
  <conditionalFormatting sqref="D41">
    <cfRule type="cellIs" priority="12" dxfId="2" operator="greaterThan" stopIfTrue="1">
      <formula>5600</formula>
    </cfRule>
  </conditionalFormatting>
  <conditionalFormatting sqref="D42">
    <cfRule type="cellIs" priority="10" dxfId="2" operator="notBetween" stopIfTrue="1">
      <formula>124.2</formula>
      <formula>151.8</formula>
    </cfRule>
    <cfRule type="cellIs" priority="11" dxfId="0" operator="notBetween" stopIfTrue="1">
      <formula>124.2</formula>
      <formula>151.8</formula>
    </cfRule>
  </conditionalFormatting>
  <conditionalFormatting sqref="D43">
    <cfRule type="cellIs" priority="8" dxfId="2" operator="notEqual" stopIfTrue="1">
      <formula>10</formula>
    </cfRule>
  </conditionalFormatting>
  <conditionalFormatting sqref="D45">
    <cfRule type="cellIs" priority="7" dxfId="0" operator="notBetween" stopIfTrue="1">
      <formula>0.85*$D$44</formula>
      <formula>1.15*$D$44</formula>
    </cfRule>
  </conditionalFormatting>
  <conditionalFormatting sqref="D53">
    <cfRule type="cellIs" priority="6" dxfId="2" operator="notBetween" stopIfTrue="1">
      <formula>0.8*$D$52</formula>
      <formula>1.2*$D$52</formula>
    </cfRule>
  </conditionalFormatting>
  <conditionalFormatting sqref="D55">
    <cfRule type="cellIs" priority="5" dxfId="2" operator="notBetween" stopIfTrue="1">
      <formula>0.8*$D$54</formula>
      <formula>1.2*$D$54</formula>
    </cfRule>
  </conditionalFormatting>
  <conditionalFormatting sqref="D57">
    <cfRule type="cellIs" priority="4" dxfId="2" operator="notBetween" stopIfTrue="1">
      <formula>0.8*$D$56</formula>
      <formula>1.2*$D$56</formula>
    </cfRule>
  </conditionalFormatting>
  <conditionalFormatting sqref="D88">
    <cfRule type="cellIs" priority="3" dxfId="2" operator="notBetween" stopIfTrue="1">
      <formula>$D$87/2</formula>
      <formula>$D$87</formula>
    </cfRule>
  </conditionalFormatting>
  <conditionalFormatting sqref="D47">
    <cfRule type="cellIs" priority="2" dxfId="0" operator="notBetween" stopIfTrue="1">
      <formula>0.85*$D$44</formula>
      <formula>1.15*$D$44</formula>
    </cfRule>
  </conditionalFormatting>
  <conditionalFormatting sqref="D49">
    <cfRule type="cellIs" priority="1" dxfId="0" operator="notBetween" stopIfTrue="1">
      <formula>0.85*$D$44</formula>
      <formula>1.15*$D$44</formula>
    </cfRule>
  </conditionalFormatting>
  <dataValidations count="2">
    <dataValidation type="list" allowBlank="1" showInputMessage="1" showErrorMessage="1" sqref="D19">
      <formula1>OPTN</formula1>
    </dataValidation>
    <dataValidation type="list" allowBlank="1" showInputMessage="1" showErrorMessage="1" sqref="D24">
      <formula1>$B$105:$B$120</formula1>
    </dataValidation>
  </dataValidation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C3:C7"/>
  <sheetViews>
    <sheetView zoomScalePageLayoutView="0" workbookViewId="0" topLeftCell="A1">
      <selection activeCell="C7" sqref="C7"/>
    </sheetView>
  </sheetViews>
  <sheetFormatPr defaultColWidth="9.140625" defaultRowHeight="12.75"/>
  <sheetData>
    <row r="3" ht="12.75">
      <c r="C3">
        <v>2</v>
      </c>
    </row>
    <row r="4" ht="12.75">
      <c r="C4">
        <v>3</v>
      </c>
    </row>
    <row r="7" ht="12.75">
      <c r="C7">
        <f>MAX(C3,C4)</f>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Semiconductor</dc:creator>
  <cp:keywords/>
  <dc:description/>
  <cp:lastModifiedBy>Jose Capilla</cp:lastModifiedBy>
  <cp:lastPrinted>2016-01-20T15:28:25Z</cp:lastPrinted>
  <dcterms:created xsi:type="dcterms:W3CDTF">2004-10-25T09:25:43Z</dcterms:created>
  <dcterms:modified xsi:type="dcterms:W3CDTF">2017-05-29T09:14:00Z</dcterms:modified>
  <cp:category/>
  <cp:version/>
  <cp:contentType/>
  <cp:contentStatus/>
</cp:coreProperties>
</file>