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CM_QA_Report_Monthly\"/>
    </mc:Choice>
  </mc:AlternateContent>
  <xr:revisionPtr revIDLastSave="0" documentId="8_{B89A842C-EB95-4DF8-AA7A-2765E8F0B90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5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5" l="1"/>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G60" i="6" s="1"/>
  <c r="AB7" i="5"/>
  <c r="AB8" i="5"/>
  <c r="AB9" i="5"/>
  <c r="AB10" i="5"/>
  <c r="AB11" i="5"/>
  <c r="AB12" i="5"/>
  <c r="AB13"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V7" i="5"/>
  <c r="V8" i="5"/>
  <c r="V9" i="5"/>
  <c r="X9" i="5"/>
  <c r="V10" i="5"/>
  <c r="X10" i="5"/>
  <c r="V11" i="5"/>
  <c r="X11" i="5"/>
  <c r="V12" i="5"/>
  <c r="V13" i="5"/>
  <c r="V14" i="5"/>
  <c r="X1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B23" i="6"/>
  <c r="G23" i="6" s="1"/>
  <c r="G16" i="6"/>
  <c r="H16" i="6"/>
  <c r="K61" i="6" s="1"/>
  <c r="F21" i="6"/>
  <c r="H21" i="6" s="1"/>
  <c r="D21" i="6" s="1"/>
  <c r="G21" i="6"/>
  <c r="H24" i="6"/>
  <c r="F34" i="6"/>
  <c r="H34" i="6"/>
  <c r="F44" i="6"/>
  <c r="H44"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C44" i="6" s="1"/>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8" i="5"/>
  <c r="X12" i="5"/>
  <c r="X13" i="5"/>
  <c r="X36" i="5"/>
  <c r="X116" i="5"/>
  <c r="X172" i="5"/>
  <c r="X253" i="5"/>
  <c r="X365" i="5"/>
  <c r="X396" i="5"/>
  <c r="X573" i="5"/>
  <c r="X652" i="5"/>
  <c r="X973" i="5"/>
  <c r="X1062" i="5"/>
  <c r="X1852"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P37" i="4"/>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H59" i="6" s="1"/>
  <c r="D59" i="6" s="1"/>
  <c r="F2347" i="5"/>
  <c r="I2451" i="5"/>
  <c r="R2495" i="5"/>
  <c r="D11" i="4"/>
  <c r="B58" i="6"/>
  <c r="G58" i="6" s="1"/>
  <c r="B54" i="6"/>
  <c r="G54" i="6"/>
  <c r="B49" i="6"/>
  <c r="G49" i="6"/>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s="1"/>
  <c r="B10" i="6"/>
  <c r="G10" i="6" s="1"/>
  <c r="H10" i="6" s="1"/>
  <c r="B9" i="6"/>
  <c r="G9" i="6" s="1"/>
  <c r="H9" i="6" s="1"/>
  <c r="D9" i="6" s="1"/>
  <c r="B7" i="6"/>
  <c r="G7" i="6"/>
  <c r="H7" i="6"/>
  <c r="D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G21" i="5"/>
  <c r="F15" i="5"/>
  <c r="R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J15" i="5"/>
  <c r="J16" i="5"/>
  <c r="R10"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56" i="4" s="1"/>
  <c r="A38" i="6" s="1"/>
  <c r="B3" i="6"/>
  <c r="A4" i="8"/>
  <c r="B22" i="3"/>
  <c r="B4" i="8"/>
  <c r="B34" i="4"/>
  <c r="B40" i="4"/>
  <c r="A25"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68"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34" i="6"/>
  <c r="S10" i="5"/>
  <c r="S9" i="5"/>
  <c r="S7" i="5"/>
  <c r="S8" i="5"/>
  <c r="S14" i="5"/>
  <c r="S12" i="5"/>
  <c r="S5" i="5"/>
  <c r="S11" i="5"/>
  <c r="S6" i="5"/>
  <c r="S13" i="5"/>
  <c r="C6" i="6" l="1"/>
  <c r="G61" i="6"/>
  <c r="H61" i="6" s="1"/>
  <c r="G64" i="6" a="1"/>
  <c r="G64" i="6" s="1"/>
  <c r="C24" i="6"/>
  <c r="F23" i="6"/>
  <c r="F60" i="6" s="1"/>
  <c r="B51" i="4"/>
  <c r="A34" i="6" s="1"/>
  <c r="A24" i="6"/>
  <c r="F39" i="6"/>
  <c r="H39" i="6" s="1"/>
  <c r="D39" i="6" s="1"/>
  <c r="C16" i="6"/>
  <c r="C34" i="6"/>
  <c r="C21" i="6"/>
  <c r="F48" i="6"/>
  <c r="F52" i="6" s="1"/>
  <c r="H52" i="6" s="1"/>
  <c r="H23" i="6"/>
  <c r="F28" i="6"/>
  <c r="H28" i="6" s="1"/>
  <c r="F43" i="6"/>
  <c r="H43" i="6" s="1"/>
  <c r="F20" i="6"/>
  <c r="H20" i="6" s="1"/>
  <c r="G15" i="6"/>
  <c r="H15" i="6" s="1"/>
  <c r="C13" i="6"/>
  <c r="C11" i="6"/>
  <c r="D11" i="6"/>
  <c r="C8" i="6"/>
  <c r="D8" i="6"/>
  <c r="C10" i="6"/>
  <c r="D10" i="6"/>
  <c r="D12" i="6"/>
  <c r="C12" i="6"/>
  <c r="C9" i="6"/>
  <c r="C7" i="6"/>
  <c r="G37" i="4"/>
  <c r="G55" i="4"/>
  <c r="B53" i="4"/>
  <c r="A36" i="6" s="1"/>
  <c r="B59" i="4"/>
  <c r="A41" i="6" s="1"/>
  <c r="B47" i="4"/>
  <c r="A31" i="6" s="1"/>
  <c r="A26" i="6"/>
  <c r="A23" i="6"/>
  <c r="D5" i="6"/>
  <c r="C5" i="6"/>
  <c r="C2" i="6"/>
  <c r="C59" i="6"/>
  <c r="D4" i="6"/>
  <c r="C4" i="6"/>
  <c r="B57" i="4"/>
  <c r="A39" i="6" s="1"/>
  <c r="B46" i="4"/>
  <c r="A30" i="6" s="1"/>
  <c r="B64" i="4"/>
  <c r="A45" i="6" s="1"/>
  <c r="B75" i="4"/>
  <c r="A53" i="6" s="1"/>
  <c r="B63" i="4"/>
  <c r="A44" i="6" s="1"/>
  <c r="D49" i="4"/>
  <c r="D61" i="4"/>
  <c r="G49" i="4"/>
  <c r="B50" i="4"/>
  <c r="A33" i="6" s="1"/>
  <c r="G61" i="4"/>
  <c r="B44" i="4"/>
  <c r="A28" i="6" s="1"/>
  <c r="B62" i="4"/>
  <c r="A43" i="6" s="1"/>
  <c r="D55" i="4"/>
  <c r="B74" i="4"/>
  <c r="A52" i="6" s="1"/>
  <c r="B52" i="4"/>
  <c r="A35" i="6" s="1"/>
  <c r="D31" i="4"/>
  <c r="B58" i="4"/>
  <c r="A40" i="6" s="1"/>
  <c r="D43" i="4"/>
  <c r="D68" i="4"/>
  <c r="G31" i="4"/>
  <c r="G43" i="4"/>
  <c r="F64" i="6"/>
  <c r="T9" i="5"/>
  <c r="T5" i="5"/>
  <c r="T10" i="5"/>
  <c r="T13" i="5"/>
  <c r="T8" i="5"/>
  <c r="T11" i="5"/>
  <c r="T14" i="5"/>
  <c r="T12" i="5"/>
  <c r="T6" i="5"/>
  <c r="D61" i="6" l="1"/>
  <c r="C61" i="6"/>
  <c r="F38" i="6"/>
  <c r="H38" i="6" s="1"/>
  <c r="F33" i="6"/>
  <c r="H33" i="6" s="1"/>
  <c r="C39" i="6"/>
  <c r="D52" i="6"/>
  <c r="C52" i="6"/>
  <c r="K60" i="6"/>
  <c r="D15" i="6"/>
  <c r="C15" i="6"/>
  <c r="C20" i="6"/>
  <c r="D20" i="6"/>
  <c r="C43" i="6"/>
  <c r="D43" i="6"/>
  <c r="D28" i="6"/>
  <c r="C28" i="6"/>
  <c r="D23" i="6"/>
  <c r="C23" i="6"/>
  <c r="H60" i="6"/>
  <c r="B2" i="6"/>
  <c r="H48" i="6"/>
  <c r="F49" i="6"/>
  <c r="F53" i="6"/>
  <c r="H53" i="6" s="1"/>
  <c r="F54" i="6"/>
  <c r="H54" i="6" s="1"/>
  <c r="F55" i="6"/>
  <c r="H55" i="6" s="1"/>
  <c r="F57" i="6"/>
  <c r="H57" i="6" s="1"/>
  <c r="F58" i="6"/>
  <c r="H58" i="6" s="1"/>
  <c r="H64" i="6"/>
  <c r="C64" i="6"/>
  <c r="D33" i="6" l="1"/>
  <c r="C33" i="6"/>
  <c r="D38" i="6"/>
  <c r="C38" i="6"/>
  <c r="D54" i="6"/>
  <c r="C54" i="6"/>
  <c r="D53" i="6"/>
  <c r="C53" i="6"/>
  <c r="H49" i="6"/>
  <c r="F50" i="6"/>
  <c r="H50" i="6" s="1"/>
  <c r="D48" i="6"/>
  <c r="C48" i="6"/>
  <c r="C55" i="6"/>
  <c r="D55" i="6"/>
  <c r="D60" i="6"/>
  <c r="C60" i="6"/>
  <c r="H65" i="6"/>
  <c r="D2" i="6" s="1"/>
  <c r="D58" i="6"/>
  <c r="C58" i="6"/>
  <c r="D57" i="6"/>
  <c r="C57" i="6"/>
  <c r="D50" i="6" l="1"/>
  <c r="C50" i="6"/>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<sst xmlns="http://schemas.openxmlformats.org/spreadsheetml/2006/main" count="23187" uniqueCount="19238">
  <si>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</si>
  <si>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</si>
  <si>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</si>
  <si>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</si>
  <si>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</si>
  <si>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</si>
  <si>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</si>
  <si>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</si>
  <si>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</si>
  <si>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</si>
  <si>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</si>
  <si>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</si>
  <si>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</si>
  <si>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</si>
  <si>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</si>
  <si>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</si>
  <si>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</si>
  <si>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</si>
  <si>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</si>
  <si>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</si>
  <si>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</si>
  <si>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</si>
  <si>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</si>
  <si>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</si>
  <si>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</si>
  <si>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</si>
  <si>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</si>
  <si>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</si>
  <si>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</si>
  <si>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</si>
  <si>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</si>
  <si>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</si>
  <si>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</si>
  <si>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</si>
  <si>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</si>
  <si>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</si>
  <si>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</si>
  <si>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</si>
  <si>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</si>
  <si>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</si>
  <si>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</si>
  <si>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</si>
  <si>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</si>
  <si>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</si>
  <si>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</si>
  <si>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</si>
  <si>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</si>
  <si>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</si>
  <si>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</si>
  <si>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</si>
  <si>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</si>
  <si>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</si>
  <si>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</si>
  <si>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</si>
  <si>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</si>
  <si>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</si>
  <si>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</si>
  <si>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</si>
  <si>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</si>
  <si>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</si>
  <si>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</si>
  <si>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</si>
  <si>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</si>
  <si>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</si>
  <si>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</si>
  <si>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</si>
  <si>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</si>
  <si>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</si>
  <si>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</si>
  <si>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</si>
  <si>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</si>
  <si>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</si>
  <si>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</si>
  <si>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</si>
  <si>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</si>
  <si>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</si>
  <si>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</si>
  <si>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</si>
  <si>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</si>
  <si>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</si>
  <si>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</si>
  <si>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</si>
  <si>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</si>
  <si>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</si>
  <si>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</si>
  <si>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</si>
  <si>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</si>
  <si>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</si>
  <si>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</si>
  <si>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</si>
  <si>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</si>
  <si>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</si>
  <si>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</si>
  <si>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</si>
  <si>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</si>
  <si>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</si>
  <si>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</si>
  <si>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</si>
  <si>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</si>
  <si>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</si>
  <si>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</si>
  <si>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</si>
  <si>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</si>
  <si>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</si>
  <si>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</si>
  <si>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</si>
  <si>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</si>
  <si>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</si>
  <si>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</si>
  <si>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</si>
  <si>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</si>
  <si>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</si>
  <si>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</si>
  <si>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</si>
  <si>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</si>
  <si>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</si>
  <si>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</si>
  <si>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</si>
  <si>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</si>
  <si>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</si>
  <si>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</si>
  <si>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</si>
  <si>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</si>
  <si>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</si>
  <si>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</si>
  <si>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</si>
  <si>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</si>
  <si>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</si>
  <si>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</si>
  <si>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</si>
  <si>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</si>
  <si>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</si>
  <si>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</si>
  <si>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</si>
  <si>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</si>
  <si>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</si>
  <si>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</si>
  <si>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</si>
  <si>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</si>
  <si>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</si>
  <si>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</si>
  <si>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</si>
  <si>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</si>
  <si>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</si>
  <si>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</si>
  <si>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</si>
  <si>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</si>
  <si>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</si>
  <si>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</si>
  <si>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</si>
  <si>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</si>
  <si>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</si>
  <si>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</si>
  <si>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</si>
  <si>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</si>
  <si>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</si>
  <si>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</si>
  <si>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</si>
  <si>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</si>
  <si>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</si>
  <si>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</si>
  <si>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</si>
  <si>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</si>
  <si>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</si>
  <si>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</si>
  <si>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</si>
  <si>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</si>
  <si>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</si>
  <si>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</si>
  <si>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</si>
  <si>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</si>
  <si>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</si>
  <si>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</si>
  <si>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</si>
  <si>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</si>
  <si>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</si>
  <si>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</si>
  <si>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</si>
  <si>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</si>
  <si>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</si>
  <si>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</si>
  <si>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</si>
  <si>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</si>
  <si>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</si>
  <si>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</si>
  <si>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</si>
  <si>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</si>
  <si>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</si>
  <si>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</si>
  <si>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</si>
  <si>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</si>
  <si>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</si>
  <si>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</si>
  <si>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</si>
  <si>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</si>
  <si>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</si>
  <si>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</si>
  <si>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</si>
  <si>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</si>
  <si>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</si>
  <si>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</si>
  <si>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</si>
  <si>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</si>
  <si>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</si>
  <si>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</si>
  <si>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</si>
  <si>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</si>
  <si>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</si>
  <si>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</si>
  <si>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</si>
  <si>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</si>
  <si>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</si>
  <si>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</si>
  <si>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</si>
  <si>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</si>
  <si>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</si>
  <si>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</si>
  <si>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</si>
  <si>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</si>
  <si>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</si>
  <si>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</si>
  <si>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</si>
  <si>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</si>
  <si>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</si>
  <si>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</si>
  <si>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</si>
  <si>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</si>
  <si>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</si>
  <si>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</si>
  <si>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</si>
  <si>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</si>
  <si>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</si>
  <si>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</si>
  <si>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</si>
  <si>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</si>
  <si>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</si>
  <si>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</si>
  <si>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</si>
  <si>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</si>
  <si>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</si>
  <si>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</si>
  <si>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</si>
  <si>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</si>
  <si>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</si>
  <si>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</si>
  <si>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</si>
  <si>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</si>
  <si>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</si>
  <si>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</si>
  <si>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</si>
  <si>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</si>
  <si>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</si>
  <si>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</si>
  <si>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</si>
  <si>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</si>
  <si>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</si>
  <si>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</si>
  <si>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</si>
  <si>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</si>
  <si>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</si>
  <si>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</si>
  <si>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</si>
  <si>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</si>
  <si>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</si>
  <si>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</si>
  <si>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</si>
  <si>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</si>
  <si>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</si>
  <si>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</si>
  <si>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</si>
  <si>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</si>
  <si>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</si>
  <si>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</si>
  <si>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</si>
  <si>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</si>
  <si>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</si>
  <si>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</si>
  <si>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</si>
  <si>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</si>
  <si>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</si>
  <si>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</si>
  <si>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</si>
  <si>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</si>
  <si>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</si>
  <si>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</si>
  <si>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</si>
  <si>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</si>
  <si>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</si>
  <si>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</si>
  <si>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</si>
  <si>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</si>
  <si>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</si>
  <si>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</si>
  <si>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</si>
  <si>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</si>
  <si>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</si>
  <si>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</si>
  <si>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</si>
  <si>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</si>
  <si>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</si>
  <si>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</si>
  <si>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</si>
  <si>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</si>
  <si>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</si>
  <si>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</si>
  <si>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</si>
  <si>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</si>
  <si>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</si>
  <si>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</si>
  <si>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</si>
  <si>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</si>
  <si>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</si>
  <si>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</si>
  <si>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</si>
  <si>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</si>
  <si>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</si>
  <si>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</si>
  <si>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</si>
  <si>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</si>
  <si>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</si>
  <si>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</si>
  <si>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</si>
  <si>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</si>
  <si>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</si>
  <si>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</si>
  <si>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</si>
  <si>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</si>
  <si>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</si>
  <si>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</si>
  <si>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</si>
  <si>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</si>
  <si>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</si>
  <si>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</si>
  <si>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</si>
  <si>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</si>
  <si>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</si>
  <si>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</si>
  <si>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</si>
  <si>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</si>
  <si>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</si>
  <si>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</si>
  <si>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</si>
  <si>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</si>
  <si>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</si>
  <si>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</si>
  <si>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</si>
  <si>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</si>
  <si>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</si>
  <si>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</si>
  <si>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</si>
  <si>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</si>
  <si>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</si>
  <si>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</si>
  <si>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</si>
  <si>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</si>
  <si>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</si>
  <si>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</si>
  <si>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</si>
  <si>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</si>
  <si>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</si>
  <si>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</si>
  <si>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</si>
  <si>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</si>
  <si>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</si>
  <si>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</si>
  <si>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</si>
  <si>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</si>
  <si>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</si>
  <si>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</si>
  <si>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</si>
  <si>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</si>
  <si>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</si>
  <si>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</si>
  <si>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</si>
  <si>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</si>
  <si>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</si>
  <si>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</si>
  <si>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</si>
  <si>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</si>
  <si>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</si>
  <si>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</si>
  <si>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</si>
  <si>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</si>
  <si>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</si>
  <si>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</si>
  <si>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</si>
  <si>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</si>
  <si>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</si>
  <si>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</si>
  <si>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</si>
  <si>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</si>
  <si>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</si>
  <si>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</si>
  <si>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</si>
  <si>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</si>
  <si>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</si>
  <si>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</si>
  <si>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</si>
  <si>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</si>
  <si>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</si>
  <si>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</si>
  <si>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</si>
  <si>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</si>
  <si>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</si>
  <si>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</si>
  <si>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</si>
  <si>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</si>
  <si>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</si>
  <si>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</si>
  <si>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</si>
  <si>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</si>
  <si>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</si>
  <si>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</si>
  <si>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</si>
  <si>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</si>
  <si>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</si>
  <si>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</si>
  <si>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</si>
  <si>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</si>
  <si>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</si>
  <si>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</si>
  <si>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</si>
  <si>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</si>
  <si>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</si>
  <si>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</si>
  <si>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</si>
  <si>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</si>
  <si>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</si>
  <si>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</si>
  <si>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</si>
  <si>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</si>
  <si>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</si>
  <si>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</si>
  <si>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</si>
  <si>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</si>
  <si>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</si>
  <si>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</si>
  <si>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</si>
  <si>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</si>
  <si>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</si>
  <si>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</si>
  <si>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</si>
  <si>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</si>
  <si>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</si>
  <si>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</si>
  <si>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</si>
  <si>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</si>
  <si>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</si>
  <si>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</si>
  <si>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</si>
  <si>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</si>
  <si>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</si>
  <si>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</si>
  <si>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</si>
  <si>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</si>
  <si>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</si>
  <si>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</si>
  <si>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</si>
  <si>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</si>
  <si>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</si>
  <si>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</si>
  <si>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</si>
  <si>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</si>
  <si>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</si>
  <si>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</si>
  <si>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</si>
  <si>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</si>
  <si>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</si>
  <si>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</si>
  <si>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</si>
  <si>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</si>
  <si>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</si>
  <si>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</si>
  <si>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</si>
  <si>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</si>
  <si>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</si>
  <si>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</si>
  <si>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</si>
  <si>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</si>
  <si>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</si>
  <si>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</si>
  <si>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</si>
  <si>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</si>
  <si>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</si>
  <si>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</si>
  <si>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</si>
  <si>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</si>
  <si>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</si>
  <si>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</si>
  <si>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</si>
  <si>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</si>
  <si>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</si>
  <si>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</si>
  <si>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</si>
  <si>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</si>
  <si>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</si>
  <si>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</si>
  <si>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</si>
  <si>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</si>
  <si>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</si>
  <si>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</si>
  <si>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</si>
  <si>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</si>
  <si>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</si>
  <si>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</si>
  <si>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</si>
  <si>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</si>
  <si>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</si>
  <si>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</si>
  <si>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</si>
  <si>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</si>
  <si>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</si>
  <si>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</si>
  <si>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</si>
  <si>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</si>
  <si>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</si>
  <si>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</si>
  <si>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</si>
  <si>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</si>
  <si>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</si>
  <si>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</si>
  <si>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</si>
  <si>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</si>
  <si>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</si>
  <si>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</si>
  <si>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</si>
  <si>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</si>
  <si>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</si>
  <si>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</si>
  <si>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</si>
  <si>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</si>
  <si>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</si>
  <si>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</si>
  <si>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</si>
  <si>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</si>
  <si>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</si>
  <si>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</si>
  <si>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</si>
  <si>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</si>
  <si>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</si>
  <si>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</si>
  <si>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</si>
  <si>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</si>
  <si>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</si>
  <si>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</si>
  <si>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</si>
  <si>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</si>
  <si>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</si>
  <si>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</si>
  <si>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</si>
  <si>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</si>
  <si>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</si>
  <si>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</si>
  <si>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</si>
  <si>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</si>
  <si>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</si>
  <si>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</si>
  <si>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</si>
  <si>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</si>
  <si>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</si>
  <si>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</si>
  <si>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</si>
  <si>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</si>
  <si>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</si>
  <si>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</si>
  <si>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</si>
  <si>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</si>
  <si>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</si>
  <si>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</si>
  <si>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</si>
  <si>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</si>
  <si>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</si>
  <si>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</si>
  <si>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</si>
  <si>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</si>
  <si>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</si>
  <si>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</si>
  <si>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</si>
  <si>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</si>
  <si>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</si>
  <si>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</si>
  <si>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</si>
  <si>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</si>
  <si>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</si>
  <si>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</si>
  <si>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</si>
  <si>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</si>
  <si>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</si>
  <si>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</si>
  <si>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</si>
  <si>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</si>
  <si>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</si>
  <si>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</si>
  <si>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</si>
  <si>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</si>
  <si>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</si>
  <si>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</si>
  <si>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</si>
  <si>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</si>
  <si>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</si>
  <si>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</si>
  <si>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</si>
  <si>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</si>
  <si>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</si>
  <si>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</si>
  <si>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</si>
  <si>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</si>
  <si>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</si>
  <si>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</si>
  <si>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</si>
  <si>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</si>
  <si>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</si>
  <si>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</si>
  <si>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</si>
  <si>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</si>
  <si>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</si>
  <si>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</si>
  <si>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</si>
  <si>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</si>
  <si>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</si>
  <si>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</si>
  <si>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</si>
  <si>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</si>
  <si>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</si>
  <si>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</si>
  <si>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</si>
  <si>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</si>
  <si>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</si>
  <si>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</si>
  <si>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</si>
  <si>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</si>
  <si>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</si>
  <si>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</si>
  <si>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</si>
  <si>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</si>
  <si>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</si>
  <si>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</si>
  <si>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</si>
  <si>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</si>
  <si>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</si>
  <si>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</si>
  <si>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</si>
  <si>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</si>
  <si>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</si>
  <si>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</si>
  <si>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</si>
  <si>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</si>
  <si>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</si>
  <si>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</si>
  <si>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</si>
  <si>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</si>
  <si>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</si>
  <si>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</si>
  <si>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</si>
  <si>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</si>
  <si>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</si>
  <si>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</si>
  <si>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</si>
  <si>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</si>
  <si>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</si>
  <si>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</si>
  <si>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</si>
  <si>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</si>
  <si>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</si>
  <si>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</si>
  <si>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</si>
  <si>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</si>
  <si>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</si>
  <si>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</si>
  <si>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</si>
  <si>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</si>
  <si>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</si>
  <si>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</si>
  <si>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</si>
  <si>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</si>
  <si>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</si>
  <si>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</si>
  <si>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</si>
  <si>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</si>
  <si>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</si>
  <si>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</si>
  <si>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</si>
  <si>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</si>
  <si>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</si>
  <si>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</si>
  <si>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</si>
  <si>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</si>
  <si>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</si>
  <si>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</si>
  <si>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</si>
  <si>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</si>
  <si>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</si>
  <si>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</si>
  <si>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</si>
  <si>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</si>
  <si>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</si>
  <si>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</si>
  <si>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</si>
  <si>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</si>
  <si>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</si>
  <si>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</si>
  <si>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</si>
  <si>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</si>
  <si>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</si>
  <si>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</si>
  <si>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</si>
  <si>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</si>
  <si>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</si>
  <si>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</si>
  <si>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</si>
  <si>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</si>
  <si>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</si>
  <si>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</si>
  <si>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</si>
  <si>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</si>
  <si>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</si>
  <si>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</si>
  <si>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</si>
  <si>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</si>
  <si>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</si>
  <si>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</si>
  <si>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</si>
  <si>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</si>
  <si>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</si>
  <si>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</si>
  <si>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</si>
  <si>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</si>
  <si>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</si>
  <si>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</si>
  <si>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</si>
  <si>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</si>
  <si>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</si>
  <si>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</si>
  <si>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</si>
  <si>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</si>
  <si>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</si>
  <si>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</si>
  <si>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</si>
  <si>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</si>
  <si>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</si>
  <si>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</si>
  <si>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</si>
  <si>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</si>
  <si>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</si>
  <si>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</si>
  <si>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</si>
  <si>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</si>
  <si>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</si>
  <si>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</si>
  <si>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</si>
  <si>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</si>
  <si>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</si>
  <si>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</si>
  <si>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</si>
  <si>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</si>
  <si>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</si>
  <si>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</si>
  <si>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</si>
  <si>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</si>
  <si>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</si>
  <si>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</si>
  <si>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</si>
  <si>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</si>
  <si>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</si>
  <si>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</si>
  <si>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</si>
  <si>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</si>
  <si>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</si>
  <si>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</si>
  <si>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</si>
  <si>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</si>
  <si>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</si>
  <si>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</si>
  <si>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</si>
  <si>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</si>
  <si>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</si>
  <si>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</si>
  <si>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</si>
  <si>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</si>
  <si>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</si>
  <si>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</si>
  <si>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</si>
  <si>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</si>
  <si>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</si>
  <si>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</si>
  <si>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</si>
  <si>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</si>
  <si>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</si>
  <si>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</si>
  <si>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</si>
  <si>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</si>
  <si>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</si>
  <si>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</si>
  <si>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</si>
  <si>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</si>
  <si>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</si>
  <si>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</si>
  <si>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</si>
  <si>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</si>
  <si>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</si>
  <si>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</si>
  <si>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</si>
  <si>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</si>
  <si>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</si>
  <si>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</si>
  <si>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</si>
  <si>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</si>
  <si>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</si>
  <si>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</si>
  <si>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</si>
  <si>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</si>
  <si>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</si>
  <si>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</si>
  <si>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</si>
  <si>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</si>
  <si>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</si>
  <si>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</si>
  <si>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</si>
  <si>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</si>
  <si>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</si>
  <si>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</si>
  <si>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</si>
  <si>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</si>
  <si>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</si>
  <si>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</si>
  <si>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</si>
  <si>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</si>
  <si>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</si>
  <si>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</si>
  <si>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</si>
  <si>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</si>
  <si>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</si>
  <si>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</si>
  <si>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</si>
  <si>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</si>
  <si>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</si>
  <si>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</si>
  <si>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</si>
  <si>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</si>
  <si>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</si>
  <si>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</si>
  <si>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</si>
  <si>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</si>
  <si>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</si>
  <si>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</si>
  <si>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</si>
  <si>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</si>
  <si>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</si>
  <si>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</si>
  <si>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</si>
  <si>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</si>
  <si>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</si>
  <si>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</si>
  <si>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</si>
  <si>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</si>
  <si>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</si>
  <si>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</si>
  <si>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</si>
  <si>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</si>
  <si>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</si>
  <si>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</si>
  <si>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</si>
  <si>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</si>
  <si>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</si>
  <si>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</si>
  <si>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</si>
  <si>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</si>
  <si>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</si>
  <si>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</si>
  <si>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</si>
  <si>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</si>
  <si>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</si>
  <si>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</si>
  <si>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</si>
  <si>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</si>
  <si>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</si>
  <si>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</si>
  <si>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</si>
  <si>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</si>
  <si>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</si>
  <si>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</si>
  <si>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</si>
  <si>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</si>
  <si>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</si>
  <si>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</si>
  <si>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</si>
  <si>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</si>
  <si>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</si>
  <si>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</si>
  <si>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</si>
  <si>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</si>
  <si>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</si>
  <si>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</si>
  <si>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</si>
  <si>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</si>
  <si>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</si>
  <si>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</si>
  <si>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</si>
  <si>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</si>
  <si>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</si>
  <si>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</si>
  <si>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</si>
  <si>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</si>
  <si>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</si>
  <si>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</si>
  <si>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</si>
  <si>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</si>
  <si>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</si>
  <si>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</si>
  <si>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</si>
  <si>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</si>
  <si>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</si>
  <si>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</si>
  <si>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</si>
  <si>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</si>
  <si>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</si>
  <si>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</si>
  <si>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</si>
  <si>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</si>
  <si>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</si>
  <si>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</si>
  <si>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</si>
  <si>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</si>
  <si>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</si>
  <si>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</si>
  <si>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</si>
  <si>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</si>
  <si>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</si>
  <si>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</si>
  <si>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</si>
  <si>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</si>
  <si>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</si>
  <si>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</si>
  <si>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</si>
  <si>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</si>
  <si>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</si>
  <si>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</si>
  <si>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</si>
  <si>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</si>
  <si>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</si>
  <si>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</si>
  <si>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</si>
  <si>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</si>
  <si>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</si>
  <si>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</si>
  <si>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</si>
  <si>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</si>
  <si>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</si>
  <si>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</si>
  <si>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</si>
  <si>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</si>
  <si>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</si>
  <si>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</si>
  <si>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</si>
  <si>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</si>
  <si>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</si>
  <si>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</si>
  <si>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</si>
  <si>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</si>
  <si>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</si>
  <si>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</si>
  <si>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</si>
  <si>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</si>
  <si>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</si>
  <si>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</si>
  <si>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</si>
  <si>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</si>
  <si>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</si>
  <si>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</si>
  <si>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</si>
  <si>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</si>
  <si>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</si>
  <si>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</si>
  <si>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</si>
  <si>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</si>
  <si>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</si>
  <si>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</si>
  <si>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</si>
  <si>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</si>
  <si>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</si>
  <si>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</si>
  <si>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</si>
  <si>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</si>
  <si>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</si>
  <si>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</si>
  <si>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</si>
  <si>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</si>
  <si>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</si>
  <si>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</si>
  <si>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</si>
  <si>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</si>
  <si>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</si>
  <si>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</si>
  <si>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</si>
  <si>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</si>
  <si>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</si>
  <si>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</si>
  <si>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</si>
  <si>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</si>
  <si>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</si>
  <si>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</si>
  <si>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</si>
  <si>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</si>
  <si>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</si>
  <si>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</si>
  <si>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</si>
  <si>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</si>
  <si>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</si>
  <si>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</si>
  <si>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</si>
  <si>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</si>
  <si>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</si>
  <si>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</si>
  <si>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</si>
  <si>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</si>
  <si>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</si>
  <si>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</si>
  <si>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</si>
  <si>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</si>
  <si>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</si>
  <si>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</si>
  <si>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</si>
  <si>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</si>
  <si>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</si>
  <si>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</si>
  <si>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</si>
  <si>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</si>
  <si>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</si>
  <si>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</si>
  <si>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</si>
  <si>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</si>
  <si>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</si>
  <si>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</si>
  <si>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</si>
  <si>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</si>
  <si>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</si>
  <si>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</si>
  <si>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</si>
  <si>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</si>
  <si>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</si>
  <si>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</si>
  <si>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</si>
  <si>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</si>
  <si>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</si>
  <si>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</si>
  <si>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</si>
  <si>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</si>
  <si>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</si>
  <si>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</si>
  <si>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</si>
  <si>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</si>
  <si>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</si>
  <si>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</si>
  <si>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</si>
  <si>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</si>
  <si>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</si>
  <si>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</si>
  <si>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</si>
  <si>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</si>
  <si>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</si>
  <si>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</si>
  <si>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</si>
  <si>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</si>
  <si>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</si>
  <si>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</si>
  <si>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</si>
  <si>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</si>
  <si>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</si>
  <si>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</si>
  <si>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</si>
  <si>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</si>
  <si>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</si>
  <si>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</si>
  <si>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</si>
  <si>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</si>
  <si>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</si>
  <si>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</si>
  <si>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</si>
  <si>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</si>
  <si>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</si>
  <si>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</si>
  <si>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</si>
  <si>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</si>
  <si>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</si>
  <si>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</si>
  <si>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</si>
  <si>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</si>
  <si>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</si>
  <si>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</si>
  <si>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</si>
  <si>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</si>
  <si>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</si>
  <si>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</si>
  <si>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</si>
  <si>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</si>
  <si>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</si>
  <si>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</si>
  <si>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</si>
  <si>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</si>
  <si>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</si>
  <si>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</si>
  <si>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</si>
  <si>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</si>
  <si>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</si>
  <si>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</si>
  <si>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</si>
  <si>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</si>
  <si>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</si>
  <si>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</si>
  <si>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</si>
  <si>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</si>
  <si>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</si>
  <si>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</si>
  <si>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</si>
  <si>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</si>
  <si>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</si>
  <si>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</si>
  <si>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</si>
  <si>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</si>
  <si>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</si>
  <si>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</si>
  <si>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</si>
  <si>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</si>
  <si>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</si>
  <si>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</si>
  <si>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</si>
  <si>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</si>
  <si>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</si>
  <si>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</si>
  <si>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</si>
  <si>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</si>
  <si>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</si>
  <si>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</si>
  <si>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</si>
  <si>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</si>
  <si>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</si>
  <si>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</si>
  <si>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</si>
  <si>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</si>
  <si>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</si>
  <si>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</si>
  <si>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</si>
  <si>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</si>
  <si>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</si>
  <si>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</si>
  <si>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</si>
  <si>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</si>
  <si>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</si>
  <si>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</si>
  <si>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</si>
  <si>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</si>
  <si>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</si>
  <si>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</si>
  <si>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</si>
  <si>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</si>
  <si>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</si>
  <si>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</si>
  <si>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</si>
  <si>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</si>
  <si>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</si>
  <si>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</si>
  <si>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</si>
  <si>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</si>
  <si>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</si>
  <si>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</si>
  <si>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</si>
  <si>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</si>
  <si>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</si>
  <si>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</si>
  <si>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</si>
  <si>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</si>
  <si>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</si>
  <si>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</si>
  <si>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</si>
  <si>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</si>
  <si>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</si>
  <si>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</si>
  <si>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</si>
  <si>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</si>
  <si>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</si>
  <si>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</si>
  <si>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</si>
  <si>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</si>
  <si>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</si>
  <si>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</si>
  <si>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</si>
  <si>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</si>
  <si>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</si>
  <si>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</si>
  <si>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</si>
  <si>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</si>
  <si>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</si>
  <si>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</si>
  <si>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</si>
  <si>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</si>
  <si>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</si>
  <si>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</si>
  <si>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</si>
  <si>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</si>
  <si>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</si>
  <si>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</si>
  <si>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</si>
  <si>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</si>
  <si>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</si>
  <si>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</si>
  <si>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</si>
  <si>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</si>
  <si>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</si>
  <si>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</si>
  <si>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</si>
  <si>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</si>
  <si>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</si>
  <si>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</si>
  <si>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</si>
  <si>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</si>
  <si>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</si>
  <si>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</si>
  <si>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</si>
  <si>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</si>
  <si>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</si>
  <si>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</si>
  <si>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</si>
  <si>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</si>
  <si>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</si>
  <si>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</si>
  <si>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</si>
  <si>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</si>
  <si>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</si>
  <si>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</si>
  <si>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</si>
  <si>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</si>
  <si>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</si>
  <si>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</si>
  <si>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</si>
  <si>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</si>
  <si>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</si>
  <si>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</si>
  <si>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</si>
  <si>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</si>
  <si>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</si>
  <si>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</si>
  <si>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</si>
  <si>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</si>
  <si>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</si>
  <si>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</si>
  <si>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</si>
  <si>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</si>
  <si>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</si>
  <si>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</si>
  <si>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</si>
  <si>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</si>
  <si>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</si>
  <si>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</si>
  <si>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</si>
  <si>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</si>
  <si>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</si>
  <si>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</si>
  <si>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</si>
  <si>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</si>
  <si>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</si>
  <si>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</si>
  <si>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</si>
  <si>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</si>
  <si>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</si>
  <si>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</si>
  <si>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</si>
  <si>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</si>
  <si>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</si>
  <si>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</si>
  <si>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</si>
  <si>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</si>
  <si>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</si>
  <si>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</si>
  <si>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</si>
  <si>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</si>
  <si>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</si>
  <si>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</si>
  <si>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</si>
  <si>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</si>
  <si>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</si>
  <si>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</si>
  <si>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</si>
  <si>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</si>
  <si>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</si>
  <si>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</si>
  <si>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</si>
  <si>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</si>
  <si>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</si>
  <si>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</si>
  <si>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</si>
  <si>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</si>
  <si>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</si>
  <si>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</si>
  <si>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</si>
  <si>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</si>
  <si>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</si>
  <si>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</si>
  <si>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</si>
  <si>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</si>
  <si>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</si>
  <si>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</si>
  <si>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</si>
  <si>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</si>
  <si>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</si>
  <si>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</si>
  <si>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</si>
  <si>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</si>
  <si>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</si>
  <si>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</si>
  <si>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</si>
  <si>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</si>
  <si>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</si>
  <si>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</si>
  <si>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</si>
  <si>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</si>
  <si>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</si>
  <si>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</si>
  <si>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</si>
  <si>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</si>
  <si>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</si>
  <si>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</si>
  <si>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</si>
  <si>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</si>
  <si>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</si>
  <si>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</si>
  <si>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</si>
  <si>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</si>
  <si>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</si>
  <si>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</si>
  <si>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</si>
  <si>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</si>
  <si>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</si>
  <si>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</si>
  <si>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</si>
  <si>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</si>
  <si>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</si>
  <si>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</si>
  <si>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</si>
  <si>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</si>
  <si>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</si>
  <si>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</si>
  <si>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</si>
  <si>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</si>
  <si>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</si>
  <si>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</si>
  <si>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</si>
  <si>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</si>
  <si>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</si>
  <si>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</si>
  <si>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</si>
  <si>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</si>
  <si>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</si>
  <si>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</si>
  <si>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</si>
  <si>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</si>
  <si>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</si>
  <si>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</si>
  <si>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</si>
  <si>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</si>
  <si>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</si>
  <si>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</si>
  <si>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</si>
  <si>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</si>
  <si>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</si>
  <si>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</si>
  <si>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</si>
  <si>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</si>
  <si>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</si>
  <si>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</si>
  <si>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</si>
  <si>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</si>
  <si>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</si>
  <si>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</si>
  <si>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</si>
  <si>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</si>
  <si>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</si>
  <si>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</si>
  <si>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</si>
  <si>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</si>
  <si>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</si>
  <si>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</si>
  <si>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</si>
  <si>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</si>
  <si>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</si>
  <si>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</si>
  <si>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</si>
  <si>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</si>
  <si>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</si>
  <si>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</si>
  <si>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</si>
  <si>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</si>
  <si>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</si>
  <si>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</si>
  <si>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</si>
  <si>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</si>
  <si>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</si>
  <si>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</si>
  <si>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</si>
  <si>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</si>
  <si>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</si>
  <si>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</si>
  <si>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</si>
  <si>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</si>
  <si>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</si>
  <si>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</si>
  <si>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</si>
  <si>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</si>
  <si>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</si>
  <si>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</si>
  <si>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</si>
  <si>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</si>
  <si>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</si>
  <si>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</si>
  <si>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</si>
  <si>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</si>
  <si>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</si>
  <si>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</si>
  <si>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</si>
  <si>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</si>
  <si>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</si>
  <si>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</si>
  <si>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</si>
  <si>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</si>
  <si>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</si>
  <si>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</si>
  <si>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</si>
  <si>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</si>
  <si>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</si>
  <si>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</si>
  <si>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</si>
  <si>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</si>
  <si>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</si>
  <si>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</si>
  <si>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</si>
  <si>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</si>
  <si>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</si>
  <si>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</si>
  <si>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</si>
  <si>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</si>
  <si>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</si>
  <si>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</si>
  <si>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</si>
  <si>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</si>
  <si>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</si>
  <si>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</si>
  <si>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</si>
  <si>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</si>
  <si>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</si>
  <si>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</si>
  <si>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</si>
  <si>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</si>
  <si>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</si>
  <si>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</si>
  <si>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</si>
  <si>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</si>
  <si>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</si>
  <si>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</si>
  <si>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</si>
  <si>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</si>
  <si>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</si>
  <si>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</si>
  <si>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</si>
  <si>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</si>
  <si>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</si>
  <si>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</si>
  <si>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</si>
  <si>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</si>
  <si>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</si>
  <si>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</si>
  <si>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</si>
  <si>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</si>
  <si>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</si>
  <si>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</si>
  <si>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</si>
  <si>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</si>
  <si>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</si>
  <si>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</si>
  <si>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</si>
  <si>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</si>
  <si>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</si>
  <si>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</si>
  <si>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</si>
  <si>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</si>
  <si>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</si>
  <si>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</si>
  <si>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</si>
  <si>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</si>
  <si>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</si>
  <si>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</si>
  <si>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</si>
  <si>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</si>
  <si>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</si>
  <si>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</si>
  <si>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</si>
  <si>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</si>
  <si>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</si>
  <si>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</si>
  <si>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</si>
  <si>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</si>
  <si>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</si>
  <si>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</si>
  <si>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</si>
  <si>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</si>
  <si>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</si>
  <si>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</si>
  <si>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</si>
  <si>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</si>
  <si>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</si>
  <si>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</si>
  <si>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</si>
  <si>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</si>
  <si>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</si>
  <si>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</si>
  <si>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</si>
  <si>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</si>
  <si>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</si>
  <si>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</si>
  <si>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</si>
  <si>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</si>
  <si>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</si>
  <si>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</si>
  <si>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</si>
  <si>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</si>
  <si>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</si>
  <si>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</si>
  <si>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</si>
  <si>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</si>
  <si>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</si>
  <si>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</si>
  <si>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</si>
  <si>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</si>
  <si>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</si>
  <si>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</si>
  <si>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</si>
  <si>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</si>
  <si>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</si>
  <si>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</si>
  <si>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</si>
  <si>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</si>
  <si>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</si>
  <si>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</si>
  <si>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</si>
  <si>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</si>
  <si>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</si>
  <si>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</si>
  <si>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</si>
  <si>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</si>
  <si>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</si>
  <si>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</si>
  <si>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</si>
  <si>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</si>
  <si>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</si>
  <si>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</si>
  <si>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</si>
  <si>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</si>
  <si>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</si>
  <si>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</si>
  <si>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</si>
  <si>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</si>
  <si>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</si>
  <si>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</si>
  <si>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</si>
  <si>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</si>
  <si>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</si>
  <si>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</si>
  <si>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</si>
  <si>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</si>
  <si>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</si>
  <si>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</si>
  <si>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</si>
  <si>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</si>
  <si>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</si>
  <si>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</si>
  <si>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</si>
  <si>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</si>
  <si>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</si>
  <si>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</si>
  <si>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</si>
  <si>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</si>
  <si>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</si>
  <si>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</si>
  <si>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</si>
  <si>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</si>
  <si>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</si>
  <si>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</si>
  <si>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</si>
  <si>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</si>
  <si>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</si>
  <si>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</si>
  <si>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</si>
  <si>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</si>
  <si>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</si>
  <si>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</si>
  <si>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</si>
  <si>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</si>
  <si>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</si>
  <si>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</si>
  <si>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</si>
  <si>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</si>
  <si>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</si>
  <si>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</si>
  <si>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</si>
  <si>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</si>
  <si>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</si>
  <si>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</si>
  <si>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</si>
  <si>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</si>
  <si>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</si>
  <si>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</si>
  <si>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</si>
  <si>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</si>
  <si>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</si>
  <si>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</si>
  <si>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</si>
  <si>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</si>
  <si>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</si>
  <si>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</si>
  <si>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</si>
  <si>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</si>
  <si>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</si>
  <si>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</si>
  <si>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</si>
  <si>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</si>
  <si>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</si>
  <si>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</si>
  <si>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</si>
  <si>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</si>
  <si>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</si>
  <si>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</si>
  <si>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</si>
  <si>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</si>
  <si>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</si>
  <si>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</si>
  <si>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</si>
  <si>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</si>
  <si>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</si>
  <si>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</si>
  <si>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</si>
  <si>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</si>
  <si>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</si>
  <si>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</si>
  <si>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</si>
  <si>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</si>
  <si>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</si>
  <si>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</si>
  <si>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</si>
  <si>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</si>
  <si>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</si>
  <si>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</si>
  <si>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</si>
  <si>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</si>
  <si>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</si>
  <si>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</si>
  <si>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</si>
  <si>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</si>
  <si>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</si>
  <si>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</si>
  <si>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</si>
  <si>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</si>
  <si>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</si>
  <si>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</si>
  <si>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</si>
  <si>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</si>
  <si>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</si>
  <si>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</si>
  <si>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</si>
  <si>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</si>
  <si>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</si>
  <si>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</si>
  <si>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</si>
  <si>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</si>
  <si>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</si>
  <si>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</si>
  <si>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</si>
  <si>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</si>
  <si>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</si>
  <si>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</si>
  <si>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</si>
  <si>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</si>
  <si>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</si>
  <si>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</si>
  <si>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</si>
  <si>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</si>
  <si>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</si>
  <si>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</si>
  <si>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</si>
  <si>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</si>
  <si>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</si>
  <si>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</si>
  <si>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</si>
  <si>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</si>
  <si>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</si>
  <si>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</si>
  <si>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</si>
  <si>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</si>
  <si>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</si>
  <si>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</si>
  <si>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</si>
  <si>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</si>
  <si>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</si>
  <si>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</si>
  <si>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</si>
  <si>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</si>
  <si>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</si>
  <si>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</si>
  <si>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</si>
  <si>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</si>
  <si>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</si>
  <si>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</si>
  <si>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</si>
  <si>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</si>
  <si>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</si>
  <si>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</si>
  <si>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</si>
  <si>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</si>
  <si>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</si>
  <si>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</si>
  <si>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</si>
  <si>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</si>
  <si>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</si>
  <si>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</si>
  <si>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</si>
  <si>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</si>
  <si>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</si>
  <si>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</si>
  <si>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</si>
  <si>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</si>
  <si>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</si>
  <si>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</si>
  <si>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</si>
  <si>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</si>
  <si>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</si>
  <si>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</si>
  <si>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</si>
  <si>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</si>
  <si>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</si>
  <si>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</si>
  <si>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</si>
  <si>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</si>
  <si>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</si>
  <si>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</si>
  <si>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</si>
  <si>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</si>
  <si>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</si>
  <si>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</si>
  <si>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</si>
  <si>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</si>
  <si>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</si>
  <si>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</si>
  <si>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</si>
  <si>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</si>
  <si>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</si>
  <si>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</si>
  <si>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</si>
  <si>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</si>
  <si>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</si>
  <si>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</si>
  <si>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</si>
  <si>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</si>
  <si>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</si>
  <si>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</si>
  <si>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</si>
  <si>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</si>
  <si>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</si>
  <si>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</si>
  <si>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</si>
  <si>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</si>
  <si>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</si>
  <si>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</si>
  <si>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</si>
  <si>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</si>
  <si>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</si>
  <si>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</si>
  <si>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</si>
  <si>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</si>
  <si>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</si>
  <si>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</si>
  <si>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</si>
  <si>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</si>
  <si>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</si>
  <si>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</si>
  <si>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</si>
  <si>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</si>
  <si>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</si>
  <si>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</si>
  <si>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</si>
  <si>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</si>
  <si>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</si>
  <si>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</si>
  <si>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</si>
  <si>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</si>
  <si>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</si>
  <si>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</si>
  <si>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</si>
  <si>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</si>
  <si>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</si>
  <si>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</si>
  <si>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</si>
  <si>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</si>
  <si>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</si>
  <si>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</si>
  <si>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</si>
  <si>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</si>
  <si>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</si>
  <si>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</si>
  <si>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</si>
  <si>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</si>
  <si>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</si>
  <si>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</si>
  <si>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</si>
  <si>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</si>
  <si>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</si>
  <si>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</si>
  <si>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</si>
  <si>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</si>
  <si>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</si>
  <si>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</si>
  <si>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</si>
  <si>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</si>
  <si>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</si>
  <si>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</si>
  <si>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</si>
  <si>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</si>
  <si>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</si>
  <si>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</si>
  <si>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</si>
  <si>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</si>
  <si>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</si>
  <si>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</si>
  <si>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</si>
  <si>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</si>
  <si>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</si>
  <si>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</si>
  <si>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</si>
  <si>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</si>
  <si>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</si>
  <si>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</si>
  <si>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</si>
  <si>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</si>
  <si>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</si>
  <si>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</si>
  <si>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</si>
  <si>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</si>
  <si>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</si>
  <si>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</si>
  <si>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</si>
  <si>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</si>
  <si>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</si>
  <si>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</si>
  <si>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</si>
  <si>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</si>
  <si>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</si>
  <si>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</si>
  <si>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</si>
  <si>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</si>
  <si>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</si>
  <si>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</si>
  <si>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</si>
  <si>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</si>
  <si>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</si>
  <si>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</si>
  <si>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</si>
  <si>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</si>
  <si>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</si>
  <si>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</si>
  <si>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</si>
  <si>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</si>
  <si>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</si>
  <si>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</si>
  <si>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</si>
  <si>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</si>
  <si>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</si>
  <si>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</si>
  <si>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</si>
  <si>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</si>
  <si>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</si>
  <si>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</si>
  <si>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</si>
  <si>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</si>
  <si>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</si>
  <si>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</si>
  <si>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</si>
  <si>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</si>
  <si>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</si>
  <si>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</si>
  <si>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</si>
  <si>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</si>
  <si>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</si>
  <si>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</si>
  <si>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</si>
  <si>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</si>
  <si>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</si>
  <si>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</si>
  <si>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</si>
  <si>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</si>
  <si>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</si>
  <si>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</si>
  <si>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</si>
  <si>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</si>
  <si>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</si>
  <si>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</si>
  <si>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</si>
  <si>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</si>
  <si>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</si>
  <si>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</si>
  <si>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</si>
  <si>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</si>
  <si>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</si>
  <si>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</si>
  <si>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</si>
  <si>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</si>
  <si>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</si>
  <si>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</si>
  <si>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</si>
  <si>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</si>
  <si>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</si>
  <si>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</si>
  <si>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</si>
  <si>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</si>
  <si>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</si>
  <si>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</si>
  <si>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</si>
  <si>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</si>
  <si>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</si>
  <si>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</si>
  <si>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</si>
  <si>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</si>
  <si>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</si>
  <si>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</si>
  <si>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</si>
  <si>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</si>
  <si>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</si>
  <si>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</si>
  <si>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</si>
  <si>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</si>
  <si>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</si>
  <si>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</si>
  <si>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</si>
  <si>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</si>
  <si>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</si>
  <si>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</si>
  <si>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</si>
  <si>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</si>
  <si>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</si>
  <si>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</si>
  <si>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</si>
  <si>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</si>
  <si>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</si>
  <si>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</si>
  <si>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</si>
  <si>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</si>
  <si>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</si>
  <si>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</si>
  <si>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</si>
  <si>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</si>
  <si>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</si>
  <si>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</si>
  <si>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</si>
  <si>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</si>
  <si>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</si>
  <si>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</si>
  <si>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</si>
  <si>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</si>
  <si>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</si>
  <si>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</si>
  <si>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</si>
  <si>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</si>
  <si>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</si>
  <si>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</si>
  <si>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</si>
  <si>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</si>
  <si>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</si>
  <si>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</si>
  <si>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</si>
  <si>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</si>
  <si>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</si>
  <si>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</si>
  <si>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</si>
  <si>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</si>
  <si>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</si>
  <si>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</si>
  <si>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</si>
  <si>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</si>
  <si>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</si>
  <si>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</si>
  <si>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</si>
  <si>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</si>
  <si>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</si>
  <si>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</si>
  <si>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</si>
  <si>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</si>
  <si>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</si>
  <si>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</si>
  <si>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</si>
  <si>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</si>
  <si>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</si>
  <si>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</si>
  <si>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</si>
  <si>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</si>
  <si>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</si>
  <si>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</si>
  <si>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</si>
  <si>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</si>
  <si>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</si>
  <si>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</si>
  <si>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</si>
  <si>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</si>
  <si>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</si>
  <si>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</si>
  <si>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</si>
  <si>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</si>
  <si>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</si>
  <si>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</si>
  <si>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</si>
  <si>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</si>
  <si>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</si>
  <si>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</si>
  <si>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</si>
  <si>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</si>
  <si>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</si>
  <si>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</si>
  <si>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</si>
  <si>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</si>
  <si>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</si>
  <si>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</si>
  <si>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</si>
  <si>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</si>
  <si>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</si>
  <si>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</si>
  <si>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</si>
  <si>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</si>
  <si>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</si>
  <si>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</si>
  <si>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</si>
  <si>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</si>
  <si>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</si>
  <si>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</si>
  <si>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</si>
  <si>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</si>
  <si>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</si>
  <si>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</si>
  <si>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</si>
  <si>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</si>
  <si>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</si>
  <si>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</si>
  <si>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</si>
  <si>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</si>
  <si>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</si>
  <si>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</si>
  <si>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</si>
  <si>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</si>
  <si>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</si>
  <si>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</si>
  <si>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</si>
  <si>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</si>
  <si>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</si>
  <si>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</si>
  <si>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</si>
  <si>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</si>
  <si>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</si>
  <si>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</si>
  <si>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</si>
  <si>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</si>
  <si>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</si>
  <si>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</si>
  <si>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</si>
  <si>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</si>
  <si>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</si>
  <si>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</si>
  <si>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</si>
  <si>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</si>
  <si>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</si>
  <si>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</si>
  <si>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</si>
  <si>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</si>
  <si>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</si>
  <si>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</si>
  <si>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</si>
  <si>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</si>
  <si>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</si>
  <si>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</si>
  <si>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</si>
  <si>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</si>
  <si>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</si>
  <si>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</si>
  <si>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</si>
  <si>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</si>
  <si>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</si>
  <si>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</si>
  <si>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</si>
  <si>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</si>
  <si>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</si>
  <si>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</si>
  <si>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</si>
  <si>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</si>
  <si>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</si>
  <si>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</si>
  <si>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</si>
  <si>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</si>
  <si>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</si>
  <si>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</si>
  <si>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</si>
  <si>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</si>
  <si>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</si>
  <si>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</si>
  <si>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</si>
  <si>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</si>
  <si>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</si>
  <si>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</si>
  <si>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</si>
  <si>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</si>
  <si>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</si>
  <si>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</si>
  <si>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</si>
  <si>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</si>
  <si>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</si>
  <si>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</si>
  <si>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</si>
  <si>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</si>
  <si>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</si>
  <si>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</si>
  <si>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</si>
  <si>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</si>
  <si>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</si>
  <si>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</si>
  <si>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</si>
  <si>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</si>
  <si>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</si>
  <si>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</si>
  <si>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</si>
  <si>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</si>
  <si>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</si>
  <si>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</si>
  <si>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</si>
  <si>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</si>
  <si>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</si>
  <si>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</si>
  <si>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</si>
  <si>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</si>
  <si>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</si>
  <si>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</si>
  <si>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</si>
  <si>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</si>
  <si>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</si>
  <si>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</si>
  <si>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</si>
  <si>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</si>
  <si>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</si>
  <si>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</si>
  <si>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</si>
  <si>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</si>
  <si>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</si>
  <si>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</si>
  <si>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</si>
  <si>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</si>
  <si>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</si>
  <si>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</si>
  <si>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</si>
  <si>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</si>
  <si>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</si>
  <si>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</si>
  <si>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</si>
  <si>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</si>
  <si>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</si>
  <si>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</si>
  <si>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</si>
  <si>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</si>
  <si>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</si>
  <si>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</si>
  <si>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</si>
  <si>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</si>
  <si>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</si>
  <si>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</si>
  <si>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</si>
  <si>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</si>
  <si>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</si>
  <si>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</si>
  <si>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</si>
  <si>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</si>
  <si>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</si>
  <si>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</si>
  <si>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</si>
  <si>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</si>
  <si>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</si>
  <si>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</si>
  <si>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</si>
  <si>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</si>
  <si>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</si>
  <si>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</si>
  <si>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</si>
  <si>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</si>
  <si>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</si>
  <si>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</si>
  <si>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</si>
  <si>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</si>
  <si>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</si>
  <si>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</si>
  <si>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</si>
  <si>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</si>
  <si>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</si>
  <si>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</si>
  <si>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</si>
  <si>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</si>
  <si>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</si>
  <si>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</si>
  <si>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</si>
  <si>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</si>
  <si>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</si>
  <si>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</si>
  <si>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</si>
  <si>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</si>
  <si>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</si>
  <si>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</si>
  <si>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</si>
  <si>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</si>
  <si>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</si>
  <si>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</si>
  <si>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</si>
  <si>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</si>
  <si>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</si>
  <si>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</si>
  <si>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</si>
  <si>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</si>
  <si>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</si>
  <si>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</si>
  <si>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</si>
  <si>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</si>
  <si>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</si>
  <si>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</si>
  <si>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</si>
  <si>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</si>
  <si>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</si>
  <si>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</si>
  <si>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</si>
  <si>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</si>
  <si>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</si>
  <si>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</si>
  <si>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</si>
  <si>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</si>
  <si>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</si>
  <si>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</si>
  <si>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</si>
  <si>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</si>
  <si>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</si>
  <si>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</si>
  <si>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</si>
  <si>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</si>
  <si>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</si>
  <si>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</si>
  <si>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</si>
  <si>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</si>
  <si>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</si>
  <si>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</si>
  <si>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</si>
  <si>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</si>
  <si>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</si>
  <si>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</si>
  <si>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</si>
  <si>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</si>
  <si>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</si>
  <si>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</si>
  <si>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</si>
  <si>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</si>
  <si>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</si>
  <si>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</si>
  <si>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</si>
  <si>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</si>
  <si>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</si>
  <si>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</si>
  <si>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</si>
  <si>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</si>
  <si>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</si>
  <si>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</si>
  <si>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</si>
  <si>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</si>
  <si>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</si>
  <si>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</si>
  <si>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</si>
  <si>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</si>
  <si>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</si>
  <si>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</si>
  <si>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</si>
  <si>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</si>
  <si>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</si>
  <si>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</si>
  <si>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</si>
  <si>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</si>
  <si>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</si>
  <si>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</si>
  <si>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</si>
  <si>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</si>
  <si>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</si>
  <si>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</si>
  <si>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</si>
  <si>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</si>
  <si>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</si>
  <si>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</si>
  <si>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</si>
  <si>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</si>
  <si>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</si>
  <si>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</si>
  <si>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</si>
  <si>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</si>
  <si>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</si>
  <si>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</si>
  <si>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</si>
  <si>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</si>
  <si>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</si>
  <si>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</si>
  <si>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</si>
  <si>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</si>
  <si>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</si>
  <si>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</si>
  <si>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</si>
  <si>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</si>
  <si>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</si>
  <si>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</si>
  <si>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</si>
  <si>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</si>
  <si>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</si>
  <si>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</si>
  <si>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</si>
  <si>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</si>
  <si>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</si>
  <si>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</si>
  <si>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</si>
  <si>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</si>
  <si>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</si>
  <si>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</si>
  <si>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</si>
  <si>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</si>
  <si>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</si>
  <si>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</si>
  <si>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</si>
  <si>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</si>
  <si>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</si>
  <si>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</si>
  <si>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</si>
  <si>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</si>
  <si>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</si>
  <si>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</si>
  <si>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</si>
  <si>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</si>
  <si>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</si>
  <si>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</si>
  <si>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</si>
  <si>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</si>
  <si>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</si>
  <si>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</si>
  <si>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</si>
  <si>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</si>
  <si>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</si>
  <si>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</si>
  <si>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</si>
  <si>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</si>
  <si>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</si>
  <si>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</si>
  <si>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</si>
  <si>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</si>
  <si>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</si>
  <si>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</si>
  <si>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</si>
  <si>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</si>
  <si>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</si>
  <si>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</si>
  <si>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</si>
  <si>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</si>
  <si>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</si>
  <si>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</si>
  <si>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</si>
  <si>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</si>
  <si>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</si>
  <si>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</si>
  <si>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</si>
  <si>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</si>
  <si>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</si>
  <si>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</si>
  <si>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</si>
  <si>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</si>
  <si>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</si>
  <si>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</si>
  <si>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</si>
  <si>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</si>
  <si>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</si>
  <si>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</si>
  <si>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</si>
  <si>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</si>
  <si>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</si>
  <si>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</si>
  <si>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</si>
  <si>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</si>
  <si>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</si>
  <si>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</si>
  <si>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</si>
  <si>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</si>
  <si>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</si>
  <si>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</si>
  <si>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</si>
  <si>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</si>
  <si>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</si>
  <si>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</si>
  <si>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</si>
  <si>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</si>
  <si>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</si>
  <si>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</si>
  <si>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</si>
  <si>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</si>
  <si>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</si>
  <si>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</si>
  <si>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</si>
  <si>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</si>
  <si>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</si>
  <si>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</si>
  <si>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</si>
  <si>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</si>
  <si>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</si>
  <si>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</si>
  <si>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</si>
  <si>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</si>
  <si>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</si>
  <si>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</si>
  <si>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</si>
  <si>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</si>
  <si>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</si>
  <si>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</si>
  <si>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</si>
  <si>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</si>
  <si>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</si>
  <si>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</si>
  <si>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</si>
  <si>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</si>
  <si>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</si>
  <si>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</si>
  <si>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</si>
  <si>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</si>
  <si>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</si>
  <si>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</si>
  <si>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</si>
  <si>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</si>
  <si>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</si>
  <si>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</si>
  <si>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</si>
  <si>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</si>
  <si>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</si>
  <si>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</si>
  <si>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</si>
  <si>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</si>
  <si>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</si>
  <si>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</si>
  <si>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</si>
  <si>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</si>
  <si>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</si>
  <si>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</si>
  <si>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</si>
  <si>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</si>
  <si>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</si>
  <si>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</si>
  <si>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</si>
  <si>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</si>
  <si>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</si>
  <si>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</si>
  <si>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</si>
  <si>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</si>
  <si>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</si>
  <si>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</si>
  <si>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</si>
  <si>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</si>
  <si>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</si>
  <si>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</si>
  <si>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</si>
  <si>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</si>
  <si>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</si>
  <si>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</si>
  <si>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</si>
  <si>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</si>
  <si>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</si>
  <si>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</si>
  <si>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</si>
  <si>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</si>
  <si>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</si>
  <si>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</si>
  <si>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</si>
  <si>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</si>
  <si>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</si>
  <si>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</si>
  <si>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</si>
  <si>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</si>
  <si>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</si>
  <si>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</si>
  <si>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</si>
  <si>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</si>
  <si>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</si>
  <si>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</si>
  <si>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</si>
  <si>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</si>
  <si>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</si>
  <si>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</si>
  <si>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</si>
  <si>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</si>
  <si>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</si>
  <si>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</si>
  <si>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</si>
  <si>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</si>
  <si>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</si>
  <si>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</si>
  <si>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</si>
  <si>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</si>
  <si>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</si>
  <si>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</si>
  <si>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</si>
  <si>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</si>
  <si>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</si>
  <si>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</si>
  <si>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</si>
  <si>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</si>
  <si>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</si>
  <si>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</si>
  <si>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</si>
  <si>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</si>
  <si>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</si>
  <si>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</si>
  <si>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</si>
  <si>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</si>
  <si>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</si>
  <si>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</si>
  <si>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</si>
  <si>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</si>
  <si>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</si>
  <si>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</si>
  <si>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</si>
  <si>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</si>
  <si>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</si>
  <si>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</si>
  <si>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</si>
  <si>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</si>
  <si>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</si>
  <si>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</si>
  <si>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</si>
  <si>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</si>
  <si>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</si>
  <si>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</si>
  <si>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</si>
  <si>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</si>
  <si>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</si>
  <si>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</si>
  <si>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</si>
  <si>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</si>
  <si>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</si>
  <si>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</si>
  <si>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</si>
  <si>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</si>
  <si>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</si>
  <si>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</si>
  <si>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</si>
  <si>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</si>
  <si>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</si>
  <si>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</si>
  <si>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</si>
  <si>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</si>
  <si>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</si>
  <si>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</si>
  <si>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</si>
  <si>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</si>
  <si>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</si>
  <si>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</si>
  <si>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</si>
  <si>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</si>
  <si>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</si>
  <si>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</si>
  <si>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</si>
  <si>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</si>
  <si>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</si>
  <si>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</si>
  <si>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</si>
  <si>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</si>
  <si>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</si>
  <si>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</si>
  <si>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</si>
  <si>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</si>
  <si>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</si>
  <si>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</si>
  <si>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</si>
  <si>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</si>
  <si>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</si>
  <si>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</si>
  <si>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</si>
  <si>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</si>
  <si>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</si>
  <si>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</si>
  <si>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</si>
  <si>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</si>
  <si>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</si>
  <si>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</si>
  <si>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</si>
  <si>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</si>
  <si>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</si>
  <si>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</si>
  <si>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</si>
  <si>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</si>
  <si>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</si>
  <si>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</si>
  <si>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</si>
  <si>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</si>
  <si>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</si>
  <si>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</si>
  <si>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</si>
  <si>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</si>
  <si>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</si>
  <si>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</si>
  <si>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</si>
  <si>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</si>
  <si>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</si>
  <si>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</si>
  <si>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</si>
  <si>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</si>
  <si>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</si>
  <si>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</si>
  <si>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</si>
  <si>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</si>
  <si>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</si>
  <si>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</si>
  <si>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</si>
  <si>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</si>
  <si>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</si>
  <si>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</si>
  <si>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</si>
  <si>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</si>
  <si>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</si>
  <si>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</si>
  <si>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</si>
  <si>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</si>
  <si>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</si>
  <si>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</si>
  <si>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</si>
  <si>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</si>
  <si>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</si>
  <si>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</si>
  <si>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</si>
  <si>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</si>
  <si>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</si>
  <si>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</si>
  <si>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</si>
  <si>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</si>
  <si>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</si>
  <si>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</si>
  <si>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</si>
  <si>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</si>
  <si>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</si>
  <si>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</si>
  <si>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</si>
  <si>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</si>
  <si>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</si>
  <si>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</si>
  <si>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</si>
  <si>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</si>
  <si>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</si>
  <si>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</si>
  <si>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</si>
  <si>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</si>
  <si>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</si>
  <si>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</si>
  <si>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</si>
  <si>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</si>
  <si>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</si>
  <si>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</si>
  <si>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</si>
  <si>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</si>
  <si>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</si>
  <si>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</si>
  <si>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</si>
  <si>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</si>
  <si>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</si>
  <si>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</si>
  <si>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</si>
  <si>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</si>
  <si>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</si>
  <si>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</si>
  <si>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</si>
  <si>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</si>
  <si>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</si>
  <si>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</si>
  <si>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</si>
  <si>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</si>
  <si>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</si>
  <si>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</si>
  <si>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</si>
  <si>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</si>
  <si>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</si>
  <si>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</si>
  <si>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</si>
  <si>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</si>
  <si>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</si>
  <si>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</si>
  <si>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</si>
  <si>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</si>
  <si>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</si>
  <si>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</si>
  <si>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</si>
  <si>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</si>
  <si>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</si>
  <si>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</si>
  <si>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</si>
  <si>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</si>
  <si>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</si>
  <si>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</si>
  <si>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</si>
  <si>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</si>
  <si>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</si>
  <si>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</si>
  <si>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</si>
  <si>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</si>
  <si>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</si>
  <si>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</si>
  <si>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</si>
  <si>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</si>
  <si>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</si>
  <si>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</si>
  <si>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</si>
  <si>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</si>
  <si>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</si>
  <si>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</si>
  <si>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</si>
  <si>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</si>
  <si>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</si>
  <si>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</si>
  <si>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</si>
  <si>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</si>
  <si>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</si>
  <si>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</si>
  <si>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</si>
  <si>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</si>
  <si>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</si>
  <si>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</si>
  <si>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</si>
  <si>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</si>
  <si>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</si>
  <si>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</si>
  <si>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</si>
  <si>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</si>
  <si>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</si>
  <si>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</si>
  <si>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</si>
  <si>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</si>
  <si>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</si>
  <si>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</si>
  <si>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</si>
  <si>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</si>
  <si>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</si>
  <si>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</si>
  <si>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</si>
  <si>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</si>
  <si>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</si>
  <si>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</si>
  <si>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</si>
  <si>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</si>
  <si>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</si>
  <si>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</si>
  <si>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</si>
  <si>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</si>
  <si>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</si>
  <si>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</si>
  <si>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</si>
  <si>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</si>
  <si>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</si>
  <si>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</si>
  <si>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</si>
  <si>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</si>
  <si>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</si>
  <si>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</si>
  <si>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</si>
  <si>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</si>
  <si>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</si>
  <si>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</si>
  <si>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</si>
  <si>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</si>
  <si>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</si>
  <si>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</si>
  <si>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</si>
  <si>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</si>
  <si>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</si>
  <si>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</si>
  <si>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</si>
  <si>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</si>
  <si>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</si>
  <si>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</si>
  <si>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</si>
  <si>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</si>
  <si>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</si>
  <si>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</si>
  <si>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</si>
  <si>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</si>
  <si>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</si>
  <si>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</si>
  <si>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</si>
  <si>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</si>
  <si>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</si>
  <si>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</si>
  <si>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</si>
  <si>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</si>
  <si>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</si>
  <si>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</si>
  <si>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</si>
  <si>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</si>
  <si>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</si>
  <si>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</si>
  <si>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</si>
  <si>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</si>
  <si>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</si>
  <si>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</si>
  <si>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</si>
  <si>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</si>
  <si>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</si>
  <si>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</si>
  <si>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</si>
  <si>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</si>
  <si>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</si>
  <si>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</si>
  <si>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</si>
  <si>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</si>
  <si>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</si>
  <si>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</si>
  <si>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</si>
  <si>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</si>
  <si>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</si>
  <si>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</si>
  <si>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</si>
  <si>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</si>
  <si>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</si>
  <si>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</si>
  <si>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</si>
  <si>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</si>
  <si>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</si>
  <si>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</si>
  <si>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</si>
  <si>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</si>
  <si>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</si>
  <si>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</si>
  <si>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</si>
  <si>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</si>
  <si>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</si>
  <si>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</si>
  <si>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</si>
  <si>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</si>
  <si>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</si>
  <si>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</si>
  <si>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</si>
  <si>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</si>
  <si>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</si>
  <si>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</si>
  <si>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</si>
  <si>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</si>
  <si>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</si>
  <si>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</si>
  <si>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</si>
  <si>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</si>
  <si>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</si>
  <si>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</si>
  <si>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</si>
  <si>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</si>
  <si>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</si>
  <si>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</si>
  <si>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</si>
  <si>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</si>
  <si>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</si>
  <si>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</si>
  <si>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</si>
  <si>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</si>
  <si>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</si>
  <si>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</si>
  <si>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</si>
  <si>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</si>
  <si>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</si>
  <si>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</si>
  <si>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</si>
  <si>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</si>
  <si>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</si>
  <si>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</si>
  <si>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</si>
  <si>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</si>
  <si>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</si>
  <si>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</si>
  <si>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</si>
  <si>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</si>
  <si>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</si>
  <si>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</si>
  <si>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</si>
  <si>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</si>
  <si>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</si>
  <si>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</si>
  <si>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</si>
  <si>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</si>
  <si>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</si>
  <si>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</si>
  <si>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</si>
  <si>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</si>
  <si>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</si>
  <si>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</si>
  <si>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</si>
  <si>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</si>
  <si>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</si>
  <si>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</si>
  <si>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</si>
  <si>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</si>
  <si>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</si>
  <si>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</si>
  <si>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</si>
  <si>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</si>
  <si>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</si>
  <si>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</si>
  <si>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</si>
  <si>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</si>
  <si>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</si>
  <si>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</si>
  <si>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</si>
  <si>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</si>
  <si>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</si>
  <si>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</si>
  <si>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</si>
  <si>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</si>
  <si>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</si>
  <si>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</si>
  <si>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</si>
  <si>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</si>
  <si>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</si>
  <si>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</si>
  <si>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</si>
  <si>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</si>
  <si>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</si>
  <si>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</si>
  <si>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</si>
  <si>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</si>
  <si>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</si>
  <si>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</si>
  <si>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</si>
  <si>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</si>
  <si>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</si>
  <si>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</si>
  <si>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</si>
  <si>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</si>
  <si>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</si>
  <si>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</si>
  <si>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</si>
  <si>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</si>
  <si>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</si>
  <si>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</si>
  <si>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</si>
  <si>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</si>
  <si>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</si>
  <si>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</si>
  <si>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</si>
  <si>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</si>
  <si>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</si>
  <si>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</si>
  <si>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</si>
  <si>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</si>
  <si>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</si>
  <si>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</si>
  <si>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</si>
  <si>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</si>
  <si>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</si>
  <si>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</si>
  <si>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</si>
  <si>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</si>
  <si>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</si>
  <si>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</si>
  <si>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</si>
  <si>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</si>
  <si>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</si>
  <si>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</si>
  <si>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</si>
  <si>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</si>
  <si>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</si>
  <si>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</si>
  <si>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</si>
  <si>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</si>
  <si>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</si>
  <si>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</si>
  <si>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</si>
  <si>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</si>
  <si>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</si>
  <si>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</si>
  <si>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</si>
  <si>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</si>
  <si>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</si>
  <si>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</si>
  <si>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</si>
  <si>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</si>
  <si>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</si>
  <si>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</si>
  <si>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</si>
  <si>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</si>
  <si>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</si>
  <si>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</si>
  <si>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</si>
  <si>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</si>
  <si>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</si>
  <si>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</si>
  <si>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</si>
  <si>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</si>
  <si>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</si>
  <si>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</si>
  <si>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</si>
  <si>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</si>
  <si>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</si>
  <si>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</si>
  <si>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</si>
  <si>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</si>
  <si>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</si>
  <si>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</si>
  <si>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</si>
  <si>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</si>
  <si>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</si>
  <si>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</si>
  <si>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</si>
  <si>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</si>
  <si>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</si>
  <si>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</si>
  <si>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</si>
  <si>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</si>
  <si>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</si>
  <si>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</si>
  <si>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</si>
  <si>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</si>
  <si>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</si>
  <si>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</si>
  <si>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</si>
  <si>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</si>
  <si>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</si>
  <si>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</si>
  <si>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</si>
  <si>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</si>
  <si>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</si>
  <si>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</si>
  <si>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</si>
  <si>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</si>
  <si>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</si>
  <si>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</si>
  <si>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</si>
  <si>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</si>
  <si>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</si>
  <si>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</si>
  <si>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</si>
  <si>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</si>
  <si>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</si>
  <si>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</si>
  <si>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</si>
  <si>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</si>
  <si>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</si>
  <si>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</si>
  <si>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</si>
  <si>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</si>
  <si>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</si>
  <si>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</si>
  <si>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</si>
  <si>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</si>
  <si>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</si>
  <si>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</si>
  <si>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</si>
  <si>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</si>
  <si>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</si>
  <si>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</si>
  <si>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</si>
  <si>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</si>
  <si>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</si>
  <si>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</si>
  <si>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</si>
  <si>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</si>
  <si>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</si>
  <si>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</si>
  <si>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</si>
  <si>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</si>
  <si>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</si>
  <si>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</si>
  <si>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</si>
  <si>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</si>
  <si>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</si>
  <si>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</si>
  <si>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</si>
  <si>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</si>
  <si>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</si>
  <si>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</si>
  <si>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</si>
  <si>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</si>
  <si>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</si>
  <si>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</si>
  <si>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</si>
  <si>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</si>
  <si>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</si>
  <si>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</si>
  <si>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</si>
  <si>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</si>
  <si>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</si>
  <si>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</si>
  <si>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</si>
  <si>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</si>
  <si>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</si>
  <si>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</si>
  <si>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</si>
  <si>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</si>
  <si>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</si>
  <si>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</si>
  <si>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</si>
  <si>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</si>
  <si>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</si>
  <si>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</si>
  <si>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</si>
  <si>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</si>
  <si>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</si>
  <si>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</si>
  <si>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</si>
  <si>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</si>
  <si>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</si>
  <si>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</si>
  <si>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</si>
  <si>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</si>
  <si>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</si>
  <si>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</si>
  <si>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</si>
  <si>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</si>
  <si>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</si>
  <si>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</si>
  <si>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</si>
  <si>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</si>
  <si>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</si>
  <si>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</si>
  <si>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</si>
  <si>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</si>
  <si>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</si>
  <si>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</si>
  <si>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</si>
  <si>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</si>
  <si>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</si>
  <si>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</si>
  <si>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</si>
  <si>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</si>
  <si>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</si>
  <si>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</si>
  <si>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</si>
  <si>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</si>
  <si>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</si>
  <si>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</si>
  <si>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</si>
  <si>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</si>
  <si>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</si>
  <si>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</si>
  <si>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</si>
  <si>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</si>
  <si>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</si>
  <si>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</si>
  <si>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</si>
  <si>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</si>
  <si>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</si>
  <si>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</si>
  <si>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</si>
  <si>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</si>
  <si>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</si>
  <si>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</si>
  <si>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</si>
  <si>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</si>
  <si>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</si>
  <si>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</si>
  <si>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</si>
  <si>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</si>
  <si>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</si>
  <si>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</si>
  <si>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</si>
  <si>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</si>
  <si>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</si>
  <si>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</si>
  <si>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</si>
  <si>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</si>
  <si>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</si>
  <si>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</si>
  <si>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</si>
  <si>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</si>
  <si>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</si>
  <si>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</si>
  <si>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</si>
  <si>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</si>
  <si>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</si>
  <si>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</si>
  <si>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</si>
  <si>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</si>
  <si>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</si>
  <si>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</si>
  <si>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</si>
  <si>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</si>
  <si>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</si>
  <si>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</si>
  <si>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</si>
  <si>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</si>
  <si>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</si>
  <si>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</si>
  <si>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</si>
  <si>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</si>
  <si>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</si>
  <si>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</si>
  <si>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</si>
  <si>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</si>
  <si>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</si>
  <si>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</si>
  <si>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</si>
  <si>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</si>
  <si>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</si>
  <si>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</si>
  <si>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</si>
  <si>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</si>
  <si>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</si>
  <si>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</si>
  <si>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</si>
  <si>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</si>
  <si>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</si>
  <si>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</si>
  <si>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</si>
  <si>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</si>
  <si>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</si>
  <si>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</si>
  <si>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</si>
  <si>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</si>
  <si>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</si>
  <si>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</si>
  <si>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</si>
  <si>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</si>
  <si>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</si>
  <si>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</si>
  <si>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</si>
  <si>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</si>
  <si>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</si>
  <si>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</si>
  <si>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</si>
  <si>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</si>
  <si>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</si>
  <si>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</si>
  <si>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</si>
  <si>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</si>
  <si>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</si>
  <si>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</si>
  <si>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</si>
  <si>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</si>
  <si>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</si>
  <si>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</si>
  <si>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</si>
  <si>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</si>
  <si>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</si>
  <si>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</si>
  <si>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</si>
  <si>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</si>
  <si>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</si>
  <si>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</si>
  <si>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</si>
  <si>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</si>
  <si>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</si>
  <si>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</si>
  <si>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</si>
  <si>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</si>
  <si>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</si>
  <si>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</si>
  <si>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</si>
  <si>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</si>
  <si>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</si>
  <si>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</si>
  <si>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</si>
  <si>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</si>
  <si>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</si>
  <si>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</si>
  <si>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</si>
  <si>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</si>
  <si>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</si>
  <si>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</si>
  <si>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</si>
  <si>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</si>
  <si>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</si>
  <si>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</si>
  <si>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</si>
  <si>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</si>
  <si>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</si>
  <si>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</si>
  <si>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</si>
  <si>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</si>
  <si>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</si>
  <si>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</si>
  <si>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</si>
  <si>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</si>
  <si>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</si>
  <si>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</si>
  <si>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</si>
  <si>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</si>
  <si>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</si>
  <si>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</si>
  <si>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</si>
  <si>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</si>
  <si>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</si>
  <si>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</si>
  <si>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</si>
  <si>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</si>
  <si>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</si>
  <si>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</si>
  <si>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</si>
  <si>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</si>
  <si>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</si>
  <si>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</si>
  <si>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</si>
  <si>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</si>
  <si>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</si>
  <si>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</si>
  <si>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</si>
  <si>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</si>
  <si>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</si>
  <si>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</si>
  <si>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</si>
  <si>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</si>
  <si>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</si>
  <si>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</si>
  <si>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</si>
  <si>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</si>
  <si>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</si>
  <si>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</si>
  <si>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</si>
  <si>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</si>
  <si>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</si>
  <si>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</si>
  <si>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</si>
  <si>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</si>
  <si>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</si>
  <si>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</si>
  <si>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</si>
  <si>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</si>
  <si>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</si>
  <si>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</si>
  <si>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</si>
  <si>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</si>
  <si>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</si>
  <si>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</si>
  <si>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</si>
  <si>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</si>
  <si>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</si>
  <si>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</si>
  <si>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</si>
  <si>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</si>
  <si>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</si>
  <si>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</si>
  <si>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</si>
  <si>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</si>
  <si>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</si>
  <si>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</si>
  <si>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</si>
  <si>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</si>
  <si>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</si>
  <si>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</si>
  <si>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</si>
  <si>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</si>
  <si>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</si>
  <si>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</si>
  <si>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</si>
  <si>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</si>
  <si>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</si>
  <si>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</si>
  <si>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</si>
  <si>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</si>
  <si>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</si>
  <si>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</si>
  <si>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</si>
  <si>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</si>
  <si>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</si>
  <si>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</si>
  <si>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</si>
  <si>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</si>
  <si>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</si>
  <si>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</si>
  <si>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</si>
  <si>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</si>
  <si>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</si>
  <si>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</si>
  <si>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</si>
  <si>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</si>
  <si>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</si>
  <si>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</si>
  <si>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</si>
  <si>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</si>
  <si>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</si>
  <si>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</si>
  <si>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</si>
  <si>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</si>
  <si>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</si>
  <si>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</si>
  <si>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</si>
  <si>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</si>
  <si>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</si>
  <si>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</si>
  <si>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</si>
  <si>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</si>
  <si>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</si>
  <si>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</si>
  <si>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</si>
  <si>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</si>
  <si>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</si>
  <si>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</si>
  <si>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</si>
  <si>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</si>
  <si>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</si>
  <si>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</si>
  <si>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</si>
  <si>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</si>
  <si>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</si>
  <si>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</si>
  <si>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</si>
  <si>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</si>
  <si>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</si>
  <si>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</si>
  <si>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</si>
  <si>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</si>
  <si>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</si>
  <si>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</si>
  <si>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</si>
  <si>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</si>
  <si>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</si>
  <si>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</si>
  <si>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</si>
  <si>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</si>
  <si>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</si>
  <si>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</si>
  <si>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</si>
  <si>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</si>
  <si>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</si>
  <si>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</si>
  <si>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</si>
  <si>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</si>
  <si>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</si>
  <si>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</si>
  <si>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</si>
  <si>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</si>
  <si>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</si>
  <si>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</si>
  <si>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</si>
  <si>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</si>
  <si>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</si>
  <si>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</si>
  <si>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</si>
  <si>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</si>
  <si>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</si>
  <si>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</si>
  <si>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</si>
  <si>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</si>
  <si>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</si>
  <si>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</si>
  <si>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</si>
  <si>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</si>
  <si>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</si>
  <si>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</si>
  <si>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</si>
  <si>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</si>
  <si>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</si>
  <si>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</si>
  <si>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</si>
  <si>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</si>
  <si>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</si>
  <si>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</si>
  <si>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</si>
  <si>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</si>
  <si>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</si>
  <si>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</si>
  <si>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</si>
  <si>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</si>
  <si>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</si>
  <si>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</si>
  <si>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</si>
  <si>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</si>
  <si>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</si>
  <si>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</si>
  <si>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</si>
  <si>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</si>
  <si>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</si>
  <si>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</si>
  <si>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</si>
  <si>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</si>
  <si>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</si>
  <si>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</si>
  <si>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</si>
  <si>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</si>
  <si>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</si>
  <si>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</si>
  <si>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</si>
  <si>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</si>
  <si>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</si>
  <si>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</si>
  <si>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</si>
  <si>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</si>
  <si>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</si>
  <si>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</si>
  <si>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</si>
  <si>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</si>
  <si>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</si>
  <si>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</si>
  <si>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</si>
  <si>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</si>
  <si>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</si>
  <si>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</si>
  <si>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</si>
  <si>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</si>
  <si>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</si>
  <si>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</si>
  <si>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</si>
  <si>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</si>
  <si>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</si>
  <si>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</si>
  <si>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</si>
  <si>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</si>
  <si>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</si>
  <si>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</si>
  <si>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</si>
  <si>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</si>
  <si>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</si>
  <si>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</si>
  <si>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</si>
  <si>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</si>
  <si>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</si>
  <si>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</si>
  <si>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</si>
  <si>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</si>
  <si>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</si>
  <si>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</si>
  <si>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</si>
  <si>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</si>
  <si>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</si>
  <si>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</si>
  <si>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</si>
  <si>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</si>
  <si>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</si>
  <si>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</si>
  <si>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</si>
  <si>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</si>
  <si>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</si>
  <si>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</si>
  <si>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</si>
  <si>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</si>
  <si>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</si>
  <si>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</si>
  <si>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</si>
  <si>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</si>
  <si>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</si>
  <si>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</si>
  <si>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</si>
  <si>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</si>
  <si>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</si>
  <si>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</si>
  <si>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</si>
  <si>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</si>
  <si>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</si>
  <si>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</si>
  <si>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</si>
  <si>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</si>
  <si>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</si>
  <si>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</si>
  <si>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</si>
  <si>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</si>
  <si>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</si>
  <si>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</si>
  <si>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</si>
  <si>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</si>
  <si>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</si>
  <si>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</si>
  <si>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</si>
  <si>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</si>
  <si>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</si>
  <si>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</si>
  <si>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</si>
  <si>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</si>
  <si>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</si>
  <si>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</si>
  <si>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</si>
  <si>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</si>
  <si>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</si>
  <si>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</si>
  <si>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</si>
  <si>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</si>
  <si>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</si>
  <si>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</si>
  <si>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</si>
  <si>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</si>
  <si>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</si>
  <si>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</si>
  <si>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</si>
  <si>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</si>
  <si>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</si>
  <si>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</si>
  <si>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</si>
  <si>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</si>
  <si>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</si>
  <si>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</si>
  <si>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</si>
  <si>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</si>
  <si>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</si>
  <si>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</si>
  <si>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</si>
  <si>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</si>
  <si>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</si>
  <si>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</si>
  <si>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</si>
  <si>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</si>
  <si>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</si>
  <si>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</si>
  <si>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</si>
  <si>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</si>
  <si>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</si>
  <si>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</si>
  <si>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</si>
  <si>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</si>
  <si>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</si>
  <si>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</si>
  <si>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</si>
  <si>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</si>
  <si>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</si>
  <si>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</si>
  <si>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</si>
  <si>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</si>
  <si>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</si>
  <si>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</si>
  <si>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</si>
  <si>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</si>
  <si>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</si>
  <si>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</si>
  <si>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</si>
  <si>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</si>
  <si>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</si>
  <si>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</si>
  <si>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</si>
  <si>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</si>
  <si>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</si>
  <si>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</si>
  <si>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</si>
  <si>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</si>
  <si>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</si>
  <si>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</si>
  <si>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</si>
  <si>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</si>
  <si>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</si>
  <si>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</si>
  <si>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</si>
  <si>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</si>
  <si>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</si>
  <si>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</si>
  <si>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</si>
  <si>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</si>
  <si>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</si>
  <si>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</si>
  <si>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</si>
  <si>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</si>
  <si>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</si>
  <si>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</si>
  <si>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</si>
  <si>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</si>
  <si>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</si>
  <si>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</si>
  <si>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</si>
  <si>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</si>
  <si>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</si>
  <si>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</si>
  <si>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</si>
  <si>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</si>
  <si>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</si>
  <si>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</si>
  <si>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</si>
  <si>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</si>
  <si>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</si>
  <si>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</si>
  <si>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</si>
  <si>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</si>
  <si>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</si>
  <si>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</si>
  <si>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</si>
  <si>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</si>
  <si>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</si>
  <si>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</si>
  <si>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</si>
  <si>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</si>
  <si>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</si>
  <si>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</si>
  <si>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</si>
  <si>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</si>
  <si>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</si>
  <si>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</si>
  <si>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</si>
  <si>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</si>
  <si>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</si>
  <si>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</si>
  <si>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</si>
  <si>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</si>
  <si>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</si>
  <si>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</si>
  <si>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</si>
  <si>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</si>
  <si>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</si>
  <si>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</si>
  <si>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</si>
  <si>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</si>
  <si>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</si>
  <si>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</si>
  <si>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</si>
  <si>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</si>
  <si>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</si>
  <si>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</si>
  <si>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</si>
  <si>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</si>
  <si>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</si>
  <si>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</si>
  <si>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</si>
  <si>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</si>
  <si>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</si>
  <si>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</si>
  <si>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</si>
  <si>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</si>
  <si>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</si>
  <si>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</si>
  <si>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</si>
  <si>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</si>
  <si>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</si>
  <si>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</si>
  <si>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</si>
  <si>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</si>
  <si>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</si>
  <si>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</si>
  <si>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</si>
  <si>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</si>
  <si>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</si>
  <si>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</si>
  <si>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</si>
  <si>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</si>
  <si>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</si>
  <si>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</si>
  <si>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</si>
  <si>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</si>
  <si>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</si>
  <si>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</si>
  <si>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</si>
  <si>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</si>
  <si>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</si>
  <si>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</si>
  <si>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</si>
  <si>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</si>
  <si>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</si>
  <si>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</si>
  <si>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</si>
  <si>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</si>
  <si>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</si>
  <si>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</si>
  <si>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</si>
  <si>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</si>
  <si>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</si>
  <si>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</si>
  <si>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</si>
  <si>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</si>
  <si>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</si>
  <si>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</si>
  <si>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</si>
  <si>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</si>
  <si>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</si>
  <si>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</si>
  <si>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</si>
  <si>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</si>
  <si>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</si>
  <si>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</si>
  <si>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</si>
  <si>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</si>
  <si>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</si>
  <si>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</si>
  <si>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</si>
  <si>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</si>
  <si>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</si>
  <si>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</si>
  <si>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</si>
  <si>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</si>
  <si>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</si>
  <si>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</si>
  <si>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</si>
  <si>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</si>
  <si>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</si>
  <si>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</si>
  <si>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</si>
  <si>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</si>
  <si>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</si>
  <si>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</si>
  <si>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</si>
  <si>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</si>
  <si>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</si>
  <si>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</si>
  <si>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</si>
  <si>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</si>
  <si>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</si>
  <si>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</si>
  <si>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</si>
  <si>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</si>
  <si>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</si>
  <si>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</si>
  <si>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</si>
  <si>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</si>
  <si>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</si>
  <si>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</si>
  <si>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</si>
  <si>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</si>
  <si>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</si>
  <si>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</si>
  <si>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</si>
  <si>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</si>
  <si>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</si>
  <si>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</si>
  <si>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</si>
  <si>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</si>
  <si>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</si>
  <si>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</si>
  <si>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</si>
  <si>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</si>
  <si>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</si>
  <si>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</si>
  <si>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</si>
  <si>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</si>
  <si>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</si>
  <si>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</si>
  <si>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</si>
  <si>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</si>
  <si>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</si>
  <si>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</si>
  <si>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</si>
  <si>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</si>
  <si>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</si>
  <si>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</si>
  <si>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</si>
  <si>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</si>
  <si>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</si>
  <si>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</si>
  <si>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</si>
  <si>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</si>
  <si>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</si>
  <si>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</si>
  <si>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</si>
  <si>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</si>
  <si>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</si>
  <si>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</si>
  <si>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</si>
  <si>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</si>
  <si>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</si>
  <si>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</si>
  <si>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</si>
  <si>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</si>
  <si>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</si>
  <si>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</si>
  <si>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</si>
  <si>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</si>
  <si>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</si>
  <si>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</si>
  <si>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</si>
  <si>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</si>
  <si>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</si>
  <si>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</si>
  <si>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</si>
  <si>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</si>
  <si>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</si>
  <si>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</si>
  <si>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</si>
  <si>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</si>
  <si>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</si>
  <si>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</si>
  <si>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</si>
  <si>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</si>
  <si>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</si>
  <si>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</si>
  <si>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</si>
  <si>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</si>
  <si>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</si>
  <si>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</si>
  <si>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</si>
  <si>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</si>
  <si>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</si>
  <si>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</si>
  <si>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</si>
  <si>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</si>
  <si>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</si>
  <si>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</si>
  <si>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</si>
  <si>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</si>
  <si>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</si>
  <si>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</si>
  <si>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</si>
  <si>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</si>
  <si>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</si>
  <si>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</si>
  <si>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</si>
  <si>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</si>
  <si>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</si>
  <si>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</si>
  <si>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</si>
  <si>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</si>
  <si>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</si>
  <si>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</si>
  <si>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</si>
  <si>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</si>
  <si>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</si>
  <si>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</si>
  <si>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</si>
  <si>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</si>
  <si>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</si>
  <si>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</si>
  <si>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</si>
  <si>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</si>
  <si>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</si>
  <si>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</si>
  <si>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</si>
  <si>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</si>
  <si>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</si>
  <si>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</si>
  <si>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</si>
  <si>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</si>
  <si>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</si>
  <si>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</si>
  <si>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</si>
  <si>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</si>
  <si>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</si>
  <si>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</si>
  <si>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</si>
  <si>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</si>
  <si>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</si>
  <si>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</si>
  <si>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</si>
  <si>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</si>
  <si>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</si>
  <si>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</si>
  <si>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</si>
  <si>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</si>
  <si>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</si>
  <si>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</si>
  <si>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</si>
  <si>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</si>
  <si>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</si>
  <si>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</si>
  <si>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</si>
  <si>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</si>
  <si>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</si>
  <si>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</si>
  <si>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</si>
  <si>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</si>
  <si>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</si>
  <si>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</si>
  <si>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</si>
  <si>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</si>
  <si>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</si>
  <si>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</si>
  <si>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</si>
  <si>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</si>
  <si>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</si>
  <si>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</si>
  <si>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</si>
  <si>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</si>
  <si>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</si>
  <si>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</si>
  <si>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</si>
  <si>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</si>
  <si>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</si>
  <si>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</si>
  <si>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</si>
  <si>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</si>
  <si>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</si>
  <si>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</si>
  <si>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</si>
  <si>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</si>
  <si>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</si>
  <si>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</si>
  <si>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</si>
  <si>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</si>
  <si>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</si>
  <si>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</si>
  <si>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</si>
  <si>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</si>
  <si>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</si>
  <si>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</si>
  <si>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</si>
  <si>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</si>
  <si>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</si>
  <si>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</si>
  <si>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</si>
  <si>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</si>
  <si>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</si>
  <si>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</si>
  <si>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</si>
  <si>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</si>
  <si>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</si>
  <si>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</si>
  <si>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</si>
  <si>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</si>
  <si>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</si>
  <si>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</si>
  <si>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</si>
  <si>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</si>
  <si>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</si>
  <si>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</si>
  <si>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</si>
  <si>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</si>
  <si>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</si>
  <si>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</si>
  <si>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</si>
  <si>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</si>
  <si>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</si>
  <si>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</si>
  <si>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</si>
  <si>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</si>
  <si>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</si>
  <si>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</si>
  <si>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</si>
  <si>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</si>
  <si>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</si>
  <si>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</si>
  <si>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</si>
  <si>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</si>
  <si>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</si>
  <si>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</si>
  <si>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</si>
  <si>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</si>
  <si>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</si>
  <si>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</si>
  <si>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</si>
  <si>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</si>
  <si>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</si>
  <si>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</si>
  <si>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</si>
  <si>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</si>
  <si>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</si>
  <si>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</si>
  <si>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</si>
  <si>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</si>
  <si>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</si>
  <si>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</si>
  <si>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</si>
  <si>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</si>
  <si>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</si>
  <si>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</si>
  <si>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</si>
  <si>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</si>
  <si>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</si>
  <si>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</si>
  <si>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</si>
  <si>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</si>
  <si>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</si>
  <si>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</si>
  <si>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</si>
  <si>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</si>
  <si>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</si>
  <si>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</si>
  <si>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</si>
  <si>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</si>
  <si>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</si>
  <si>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</si>
  <si>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</si>
  <si>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</si>
  <si>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</si>
  <si>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</si>
  <si>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</si>
  <si>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</si>
  <si>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</si>
  <si>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</si>
  <si>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</si>
  <si>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</si>
  <si>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</si>
  <si>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</si>
  <si>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</si>
  <si>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</si>
  <si>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</si>
  <si>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</si>
  <si>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</si>
  <si>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</si>
  <si>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</si>
  <si>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</si>
  <si>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</si>
  <si>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</si>
  <si>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</si>
  <si>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</si>
  <si>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</si>
  <si>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</si>
  <si>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</si>
  <si>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</si>
  <si>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</si>
  <si>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</si>
  <si>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</si>
  <si>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</si>
  <si>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</si>
  <si>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</si>
  <si>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</si>
  <si>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</si>
  <si>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</si>
  <si>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</si>
  <si>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</si>
  <si>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</si>
  <si>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</si>
  <si>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</si>
  <si>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</si>
  <si>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</si>
  <si>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</si>
  <si>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</si>
  <si>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</si>
  <si>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</si>
  <si>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</si>
  <si>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</si>
  <si>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</si>
  <si>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</si>
  <si>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</si>
  <si>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</si>
  <si>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</si>
  <si>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</si>
  <si>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</si>
  <si>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</si>
  <si>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</si>
  <si>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</si>
  <si>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</si>
  <si>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</si>
  <si>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</si>
  <si>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</si>
  <si>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</si>
  <si>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</si>
  <si>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</si>
  <si>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</si>
  <si>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</si>
  <si>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</si>
  <si>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</si>
  <si>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</si>
  <si>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</si>
  <si>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</si>
  <si>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</si>
  <si>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</si>
  <si>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</si>
  <si>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</si>
  <si>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</si>
  <si>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</si>
  <si>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</si>
  <si>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</si>
  <si>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</si>
  <si>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</si>
  <si>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</si>
  <si>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</si>
  <si>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</si>
  <si>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</si>
  <si>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</si>
  <si>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</si>
  <si>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</si>
  <si>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</si>
  <si>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</si>
  <si>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</si>
  <si>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</si>
  <si>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</si>
  <si>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</si>
  <si>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</si>
  <si>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</si>
  <si>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</si>
  <si>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</si>
  <si>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</si>
  <si>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</si>
  <si>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</si>
  <si>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</si>
  <si>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</si>
  <si>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</si>
  <si>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</si>
  <si>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</si>
  <si>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</si>
  <si>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</si>
  <si>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</si>
  <si>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</si>
  <si>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</si>
  <si>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</si>
  <si>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</si>
  <si>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</si>
  <si>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</si>
  <si>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</si>
  <si>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</si>
  <si>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</si>
  <si>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</si>
  <si>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</si>
  <si>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</si>
  <si>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</si>
  <si>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</si>
  <si>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</si>
  <si>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</si>
  <si>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</si>
  <si>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</si>
  <si>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</si>
  <si>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</si>
  <si>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</si>
  <si>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</si>
  <si>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</si>
  <si>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</si>
  <si>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</si>
  <si>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</si>
  <si>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</si>
  <si>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</si>
  <si>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</si>
  <si>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</si>
  <si>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</si>
  <si>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</si>
  <si>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</si>
  <si>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</si>
  <si>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</si>
  <si>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</si>
  <si>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</si>
  <si>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</si>
  <si>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</si>
  <si>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</si>
  <si>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</si>
  <si>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</si>
  <si>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</si>
  <si>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</si>
  <si>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</si>
  <si>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</si>
  <si>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</si>
  <si>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</si>
  <si>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</si>
  <si>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</si>
  <si>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</si>
  <si>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</si>
  <si>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</si>
  <si>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</si>
  <si>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</si>
  <si>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</si>
  <si>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</si>
  <si>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</si>
  <si>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</si>
  <si>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</si>
  <si>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</si>
  <si>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</si>
  <si>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</si>
  <si>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</si>
  <si>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</si>
  <si>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</si>
  <si>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</si>
  <si>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</si>
  <si>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</si>
  <si>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</si>
  <si>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</si>
  <si>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</si>
  <si>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</si>
  <si>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</si>
  <si>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</si>
  <si>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</si>
  <si>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</si>
  <si>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</si>
  <si>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</si>
  <si>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</si>
  <si>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</si>
  <si>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</si>
  <si>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</si>
  <si>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</si>
  <si>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</si>
  <si>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</si>
  <si>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</si>
  <si>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</si>
  <si>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</si>
  <si>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</si>
  <si>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</si>
  <si>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</si>
  <si>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</si>
  <si>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</si>
  <si>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</si>
  <si>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</si>
  <si>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</si>
  <si>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</si>
  <si>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</si>
  <si>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</si>
  <si>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</si>
  <si>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</si>
  <si>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</si>
  <si>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</si>
  <si>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</si>
  <si>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</si>
  <si>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</si>
  <si>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</si>
  <si>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</si>
  <si>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</si>
  <si>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</si>
  <si>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</si>
  <si>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</si>
  <si>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</si>
  <si>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</si>
  <si>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</si>
  <si>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</si>
  <si>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</si>
  <si>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</si>
  <si>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</si>
  <si>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</si>
  <si>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</si>
  <si>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</si>
  <si>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</si>
  <si>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</si>
  <si>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</si>
  <si>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</si>
  <si>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</si>
  <si>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</si>
  <si>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</si>
  <si>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</si>
  <si>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</si>
  <si>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</si>
  <si>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</si>
  <si>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</si>
  <si>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</si>
  <si>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</si>
  <si>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</si>
  <si>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</si>
  <si>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</si>
  <si>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</si>
  <si>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</si>
  <si>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</si>
  <si>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</si>
  <si>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</si>
  <si>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</si>
  <si>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</si>
  <si>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</si>
  <si>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</si>
  <si>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</si>
  <si>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</si>
  <si>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</si>
  <si>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</si>
  <si>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</si>
  <si>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</si>
  <si>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</si>
  <si>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</si>
  <si>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</si>
  <si>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</si>
  <si>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</si>
  <si>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</si>
  <si>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</si>
  <si>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</si>
  <si>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</si>
  <si>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</si>
  <si>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</si>
  <si>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</si>
  <si>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</si>
  <si>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</si>
  <si>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</si>
  <si>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</si>
  <si>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</si>
  <si>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</si>
  <si>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</si>
  <si>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</si>
  <si>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</si>
  <si>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</si>
  <si>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</si>
  <si>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</si>
  <si>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</si>
  <si>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</si>
  <si>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</si>
  <si>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</si>
  <si>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</si>
  <si>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</si>
  <si>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</si>
  <si>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</si>
  <si>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</si>
  <si>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</si>
  <si>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</si>
  <si>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</si>
  <si>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</si>
  <si>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</si>
  <si>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</si>
  <si>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</si>
  <si>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</si>
  <si>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</si>
  <si>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</si>
  <si>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</si>
  <si>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</si>
  <si>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</si>
  <si>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</si>
  <si>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</si>
  <si>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</si>
  <si>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</si>
  <si>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</si>
  <si>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</si>
  <si>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</si>
  <si>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</si>
  <si>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</si>
  <si>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</si>
  <si>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</si>
  <si>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</si>
  <si>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</si>
  <si>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</si>
  <si>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</si>
  <si>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</si>
  <si>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</si>
  <si>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</si>
  <si>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</si>
  <si>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</si>
  <si>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</si>
  <si>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</si>
  <si>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</si>
  <si>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</si>
  <si>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</si>
  <si>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</si>
  <si>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</si>
  <si>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</si>
  <si>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</si>
  <si>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</si>
  <si>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</si>
  <si>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</si>
  <si>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</si>
  <si>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</si>
  <si>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</si>
  <si>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</si>
  <si>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</si>
  <si>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</si>
  <si>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</si>
  <si>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</si>
  <si>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</si>
  <si>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</si>
  <si>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</si>
  <si>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</si>
  <si>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</si>
  <si>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</si>
  <si>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</si>
  <si>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</si>
  <si>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</si>
  <si>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</si>
  <si>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</si>
  <si>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</si>
  <si>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</si>
  <si>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</si>
  <si>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</si>
  <si>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</si>
  <si>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</si>
  <si>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</si>
  <si>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</si>
  <si>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</si>
  <si>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</si>
  <si>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</si>
  <si>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</si>
  <si>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</si>
  <si>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</si>
  <si>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</si>
  <si>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</si>
  <si>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</si>
  <si>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</si>
  <si>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</si>
  <si>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</si>
  <si>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</si>
  <si>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</si>
  <si>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</si>
  <si>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</si>
  <si>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</si>
  <si>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</si>
  <si>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</si>
  <si>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</si>
  <si>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</si>
  <si>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</si>
  <si>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</si>
  <si>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</si>
  <si>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</si>
  <si>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</si>
  <si>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</si>
  <si>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</si>
  <si>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</si>
  <si>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</si>
  <si>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</si>
  <si>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</si>
  <si>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</si>
  <si>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</si>
  <si>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</si>
  <si>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</si>
  <si>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</si>
  <si>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</si>
  <si>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</si>
  <si>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</si>
  <si>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</si>
  <si>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</si>
  <si>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</si>
  <si>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</si>
  <si>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</si>
  <si>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</si>
  <si>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</si>
  <si>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</si>
  <si>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</si>
  <si>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</si>
  <si>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</si>
  <si>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</si>
  <si>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</si>
  <si>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</si>
  <si>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</si>
  <si>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</si>
  <si>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</si>
  <si>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</si>
  <si>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</si>
  <si>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</si>
  <si>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</si>
  <si>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</si>
  <si>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</si>
  <si>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</si>
  <si>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</si>
  <si>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</si>
  <si>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</si>
  <si>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</si>
  <si>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</si>
  <si>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</si>
  <si>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</si>
  <si>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</si>
  <si>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</si>
  <si>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</si>
  <si>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</si>
  <si>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</si>
  <si>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</si>
  <si>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</si>
  <si>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</si>
  <si>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</si>
  <si>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</si>
  <si>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</si>
  <si>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</si>
  <si>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</si>
  <si>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</si>
  <si>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</si>
  <si>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</si>
  <si>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</si>
  <si>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</si>
  <si>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</si>
  <si>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</si>
  <si>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</si>
  <si>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</si>
  <si>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</si>
  <si>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</si>
  <si>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</si>
  <si>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</si>
  <si>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</si>
  <si>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</si>
  <si>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</si>
  <si>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</si>
  <si>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</si>
  <si>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</si>
  <si>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</si>
  <si>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</si>
  <si>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</si>
  <si>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</si>
  <si>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</si>
  <si>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</si>
  <si>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</si>
  <si>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</si>
  <si>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</si>
  <si>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</si>
  <si>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</si>
  <si>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</si>
  <si>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</si>
  <si>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</si>
  <si>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</si>
  <si>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</si>
  <si>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</si>
  <si>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</si>
  <si>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</si>
  <si>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</si>
  <si>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</si>
  <si>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</si>
  <si>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</si>
  <si>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</si>
  <si>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</si>
  <si>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</si>
  <si>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</si>
  <si>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</si>
  <si>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</si>
  <si>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</si>
  <si>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</si>
  <si>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</si>
  <si>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</si>
  <si>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</si>
  <si>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</si>
  <si>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</si>
  <si>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</si>
  <si>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</si>
  <si>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</si>
  <si>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</si>
  <si>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</si>
  <si>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</si>
  <si>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</si>
  <si>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</si>
  <si>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</si>
  <si>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</si>
  <si>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</si>
  <si>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</si>
  <si>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</si>
  <si>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</si>
  <si>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</si>
  <si>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</si>
  <si>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</si>
  <si>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</si>
  <si>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</si>
  <si>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</si>
  <si>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</si>
  <si>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</si>
  <si>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</si>
  <si>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</si>
  <si>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</si>
  <si>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</si>
  <si>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</si>
  <si>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</si>
  <si>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</si>
  <si>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</si>
  <si>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</si>
  <si>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</si>
  <si>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</si>
  <si>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</si>
  <si>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</si>
  <si>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</si>
  <si>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</si>
  <si>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</si>
  <si>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</si>
  <si>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</si>
  <si>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</si>
  <si>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</si>
  <si>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</si>
  <si>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</si>
  <si>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</si>
  <si>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</si>
  <si>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</si>
  <si>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</si>
  <si>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</si>
  <si>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</si>
  <si>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</si>
  <si>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</si>
  <si>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</si>
  <si>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</si>
  <si>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</si>
  <si>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</si>
  <si>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</si>
  <si>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</si>
  <si>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</si>
  <si>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</si>
  <si>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</si>
  <si>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</si>
  <si>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</si>
  <si>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</si>
  <si>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</si>
  <si>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</si>
  <si>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</si>
  <si>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</si>
  <si>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</si>
  <si>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</si>
  <si>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</si>
  <si>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</si>
  <si>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</si>
  <si>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</si>
  <si>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</si>
  <si>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</si>
  <si>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</si>
  <si>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</si>
  <si>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</si>
  <si>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</si>
  <si>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</si>
  <si>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</si>
  <si>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</si>
  <si>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</si>
  <si>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</si>
  <si>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</si>
  <si>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</si>
  <si>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</si>
  <si>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</si>
  <si>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</si>
  <si>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</si>
  <si>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</si>
  <si>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</si>
  <si>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</si>
  <si>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</si>
  <si>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</si>
  <si>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</si>
  <si>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</si>
  <si>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</si>
  <si>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</si>
  <si>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</si>
  <si>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</si>
  <si>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</si>
  <si>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</si>
  <si>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</si>
  <si>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</si>
  <si>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</si>
  <si>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</si>
  <si>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</si>
  <si>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</si>
  <si>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</si>
  <si>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</si>
  <si>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</si>
  <si>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</si>
  <si>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</si>
  <si>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</si>
  <si>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</si>
  <si>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</si>
  <si>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</si>
  <si>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</si>
  <si>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</si>
  <si>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</si>
  <si>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</si>
  <si>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</si>
  <si>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</si>
  <si>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</si>
  <si>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</si>
  <si>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</si>
  <si>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</si>
  <si>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</si>
  <si>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</si>
  <si>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</si>
  <si>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</si>
  <si>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</si>
  <si>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</si>
  <si>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</si>
  <si>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</si>
  <si>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</si>
  <si>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</si>
  <si>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</si>
  <si>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</si>
  <si>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</si>
  <si>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</si>
  <si>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</si>
  <si>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</si>
  <si>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</si>
  <si>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</si>
  <si>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</si>
  <si>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</si>
  <si>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</si>
  <si>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</si>
  <si>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</si>
  <si>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</si>
  <si>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</si>
  <si>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</si>
  <si>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</si>
  <si>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</si>
  <si>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</si>
  <si>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</si>
  <si>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</si>
  <si>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</si>
  <si>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</si>
  <si>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</si>
  <si>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</si>
  <si>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</si>
  <si>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</si>
  <si>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</si>
  <si>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</si>
  <si>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</si>
  <si>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</si>
  <si>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</si>
  <si>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</si>
  <si>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</si>
  <si>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</si>
  <si>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</si>
  <si>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</si>
  <si>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</si>
  <si>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</si>
  <si>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</si>
  <si>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</si>
  <si>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</si>
  <si>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</si>
  <si>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</si>
  <si>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</si>
  <si>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</si>
  <si>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</si>
  <si>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</si>
  <si>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</si>
  <si>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</si>
  <si>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</si>
  <si>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</si>
  <si>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</si>
  <si>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</si>
  <si>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</si>
  <si>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</si>
  <si>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</si>
  <si>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</si>
  <si>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</si>
  <si>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</si>
  <si>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</si>
  <si>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</si>
  <si>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</si>
  <si>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</si>
  <si>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</si>
  <si>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</si>
  <si>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</si>
  <si>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</si>
  <si>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</si>
  <si>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</si>
  <si>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</si>
  <si>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</si>
  <si>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</si>
  <si>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</si>
  <si>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</si>
  <si>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</si>
  <si>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</si>
  <si>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</si>
  <si>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</si>
  <si>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</si>
  <si>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</si>
  <si>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</si>
  <si>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</si>
  <si>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</si>
  <si>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</si>
  <si>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</si>
  <si>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</si>
  <si>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</si>
  <si>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</si>
  <si>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</si>
  <si>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</si>
  <si>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</si>
  <si>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</si>
  <si>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</si>
  <si>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</si>
  <si>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</si>
  <si>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</si>
  <si>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</si>
  <si>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</si>
  <si>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</si>
  <si>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</si>
  <si>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</si>
  <si>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</si>
  <si>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</si>
  <si>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</si>
  <si>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</si>
  <si>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</si>
  <si>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</si>
  <si>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</si>
  <si>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</si>
  <si>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</si>
  <si>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</si>
  <si>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</si>
  <si>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</si>
  <si>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</si>
  <si>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</si>
  <si>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</si>
  <si>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</si>
  <si>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</si>
  <si>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</si>
  <si>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</si>
  <si>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</si>
  <si>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</si>
  <si>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</si>
  <si>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</si>
  <si>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</si>
  <si>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</si>
  <si>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</si>
  <si>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</si>
  <si>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</si>
  <si>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</si>
  <si>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</si>
  <si>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</si>
  <si>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</si>
  <si>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</si>
  <si>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</si>
  <si>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</si>
  <si>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</si>
  <si>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</si>
  <si>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</si>
  <si>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</si>
  <si>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</si>
  <si>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</si>
  <si>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</si>
  <si>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</si>
  <si>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</si>
  <si>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</si>
  <si>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</si>
  <si>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</si>
  <si>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</si>
  <si>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</si>
  <si>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</si>
  <si>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</si>
  <si>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</si>
  <si>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</si>
  <si>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</si>
  <si>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</si>
  <si>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</si>
  <si>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</si>
  <si>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</si>
  <si>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</si>
  <si>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</si>
  <si>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</si>
  <si>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</si>
  <si>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</si>
  <si>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</si>
  <si>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</si>
  <si>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</si>
  <si>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</si>
  <si>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</si>
  <si>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</si>
  <si>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</si>
  <si>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</si>
  <si>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</si>
  <si>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</si>
  <si>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</si>
  <si>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</si>
  <si>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</si>
  <si>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</si>
  <si>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</si>
  <si>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</si>
  <si>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</si>
  <si>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</si>
  <si>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</si>
  <si>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</si>
  <si>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</si>
  <si>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</si>
  <si>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</si>
  <si>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</si>
  <si>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</si>
  <si>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</si>
  <si>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</si>
  <si>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</si>
  <si>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</si>
  <si>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</si>
  <si>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</si>
  <si>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</si>
  <si>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</si>
  <si>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</si>
  <si>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</si>
  <si>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</si>
  <si>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</si>
  <si>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</si>
  <si>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</si>
  <si>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</si>
  <si>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</si>
  <si>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</si>
  <si>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</si>
  <si>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</si>
  <si>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</si>
  <si>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</si>
  <si>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</si>
  <si>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</si>
  <si>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</si>
  <si>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</si>
  <si>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</si>
  <si>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</si>
  <si>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</si>
  <si>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</si>
  <si>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</si>
  <si>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</si>
  <si>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</si>
  <si>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</si>
  <si>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</si>
  <si>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</si>
  <si>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</si>
  <si>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</si>
  <si>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</si>
  <si>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</si>
  <si>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</si>
  <si>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</si>
  <si>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</si>
  <si>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</si>
  <si>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</si>
  <si>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</si>
  <si>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</si>
  <si>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</si>
  <si>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</si>
  <si>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</si>
  <si>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</si>
  <si>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</si>
  <si>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</si>
  <si>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</si>
  <si>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</si>
  <si>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</si>
  <si>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</si>
  <si>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</si>
  <si>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</si>
  <si>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</si>
  <si>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</si>
  <si>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</si>
  <si>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</si>
  <si>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</si>
  <si>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</si>
  <si>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</si>
  <si>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</si>
  <si>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</si>
  <si>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</si>
  <si>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</si>
  <si>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</si>
  <si>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</si>
  <si>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</si>
  <si>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</si>
  <si>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</si>
  <si>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</si>
  <si>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</si>
  <si>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</si>
  <si>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</si>
  <si>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</si>
  <si>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</si>
  <si>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</si>
  <si>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</si>
  <si>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</si>
  <si>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</si>
  <si>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</si>
  <si>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</si>
  <si>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</si>
  <si>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</si>
  <si>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</si>
  <si>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</si>
  <si>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</si>
  <si>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</si>
  <si>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</si>
  <si>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</si>
  <si>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</si>
  <si>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</si>
  <si>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</si>
  <si>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</si>
  <si>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</si>
  <si>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</si>
  <si>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</si>
  <si>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</si>
  <si>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</si>
  <si>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</si>
  <si>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</si>
  <si>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</si>
  <si>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</si>
  <si>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</si>
  <si>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</si>
  <si>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</si>
  <si>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</si>
  <si>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</si>
  <si>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</si>
  <si>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</si>
  <si>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</si>
  <si>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</si>
  <si>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</si>
  <si>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</si>
  <si>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</si>
  <si>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</si>
  <si>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</si>
  <si>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</si>
  <si>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</si>
  <si>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</si>
  <si>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</si>
  <si>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</si>
  <si>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</si>
  <si>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</si>
  <si>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</si>
  <si>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</si>
  <si>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</si>
  <si>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</si>
  <si>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</si>
  <si>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</si>
  <si>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</si>
  <si>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</si>
  <si>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</si>
  <si>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</si>
  <si>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</si>
  <si>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</si>
  <si>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</si>
  <si>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</si>
  <si>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</si>
  <si>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</si>
  <si>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</si>
  <si>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</si>
  <si>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</si>
  <si>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</si>
  <si>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</si>
  <si>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</si>
  <si>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</si>
  <si>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</si>
  <si>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</si>
  <si>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</si>
  <si>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</si>
  <si>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</si>
  <si>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</si>
  <si>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</si>
  <si>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</si>
  <si>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</si>
  <si>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</si>
  <si>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</si>
  <si>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</si>
  <si>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</si>
  <si>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</si>
  <si>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</si>
  <si>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</si>
  <si>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</si>
  <si>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</si>
  <si>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</si>
  <si>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</si>
  <si>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</si>
  <si>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</si>
  <si>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</si>
  <si>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</si>
  <si>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</si>
  <si>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</si>
  <si>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</si>
  <si>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</si>
  <si>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</si>
  <si>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</si>
  <si>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</si>
  <si>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</si>
  <si>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</si>
  <si>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</si>
  <si>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</si>
  <si>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</si>
  <si>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</si>
  <si>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</si>
  <si>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</si>
  <si>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</si>
  <si>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</si>
  <si>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</si>
  <si>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</si>
  <si>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</si>
  <si>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</si>
  <si>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</si>
  <si>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</si>
  <si>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</si>
  <si>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</si>
  <si>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</si>
  <si>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</si>
  <si>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</si>
  <si>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</si>
  <si>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</si>
  <si>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</si>
  <si>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</si>
  <si>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</si>
  <si>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</si>
  <si>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</si>
  <si>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</si>
  <si>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</si>
  <si>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</si>
  <si>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</si>
  <si>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</si>
  <si>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</si>
  <si>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</si>
  <si>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</si>
  <si>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</si>
  <si>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</si>
  <si>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</si>
  <si>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</si>
  <si>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</si>
  <si>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</si>
  <si>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</si>
  <si>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</si>
  <si>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</si>
  <si>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</si>
  <si>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</si>
  <si>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</si>
  <si>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</si>
  <si>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</si>
  <si>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</si>
  <si>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</si>
  <si>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</si>
  <si>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</si>
  <si>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</si>
  <si>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</si>
  <si>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</si>
  <si>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</si>
  <si>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</si>
  <si>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</si>
  <si>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</si>
  <si>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</si>
  <si>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</si>
  <si>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</si>
  <si>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</si>
  <si>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</si>
  <si>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</si>
  <si>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</si>
  <si>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</si>
  <si>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</si>
  <si>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</si>
  <si>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</si>
  <si>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</si>
  <si>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</si>
  <si>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</si>
  <si>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</si>
  <si>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</si>
  <si>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</si>
  <si>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</si>
  <si>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</si>
  <si>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</si>
  <si>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</si>
  <si>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</si>
  <si>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</si>
  <si>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</si>
  <si>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</si>
  <si>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</si>
  <si>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</si>
  <si>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</si>
  <si>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</si>
  <si>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</si>
  <si>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</si>
  <si>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</si>
  <si>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</si>
  <si>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</si>
  <si>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</si>
  <si>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</si>
  <si>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</si>
  <si>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</si>
  <si>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</si>
  <si>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</si>
  <si>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</si>
  <si>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</si>
  <si>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</si>
  <si>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</si>
  <si>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</si>
  <si>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</si>
  <si>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</si>
  <si>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</si>
  <si>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</si>
  <si>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</si>
  <si>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</si>
  <si>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</si>
  <si>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</si>
  <si>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</si>
  <si>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</si>
  <si>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</si>
  <si>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</si>
  <si>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</si>
  <si>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</si>
  <si>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</si>
  <si>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</si>
  <si>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</si>
  <si>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</si>
  <si>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</si>
  <si>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</si>
  <si>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</si>
  <si>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</si>
  <si>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</si>
  <si>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</si>
  <si>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</si>
  <si>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</si>
  <si>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</si>
  <si>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</si>
  <si>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</si>
  <si>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</si>
  <si>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</si>
  <si>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</si>
  <si>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</si>
  <si>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</si>
  <si>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</si>
  <si>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</si>
  <si>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</si>
  <si>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</si>
  <si>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</si>
  <si>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</si>
  <si>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</si>
  <si>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</si>
  <si>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</si>
  <si>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</si>
  <si>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</si>
  <si>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</si>
  <si>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</si>
  <si>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</si>
  <si>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</si>
  <si>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</si>
  <si>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</si>
  <si>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</si>
  <si>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</si>
  <si>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</si>
  <si>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</si>
  <si>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</si>
  <si>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</si>
  <si>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</si>
  <si>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</si>
  <si>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</si>
  <si>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</si>
  <si>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</si>
  <si>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</si>
  <si>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</si>
  <si>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</si>
  <si>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</si>
  <si>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</si>
  <si>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</si>
  <si>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</si>
  <si>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</si>
  <si>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</si>
  <si>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</si>
  <si>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</si>
  <si>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</si>
  <si>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</si>
  <si>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</si>
  <si>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</si>
  <si>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</si>
  <si>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</si>
  <si>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</si>
  <si>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</si>
  <si>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</si>
  <si>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</si>
  <si>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</si>
  <si>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</si>
  <si>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</si>
  <si>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</si>
  <si>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</si>
  <si>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</si>
  <si>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</si>
  <si>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</si>
  <si>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</si>
  <si>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</si>
  <si>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</si>
  <si>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</si>
  <si>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</si>
  <si>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</si>
  <si>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</si>
  <si>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</si>
  <si>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</si>
  <si>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</si>
  <si>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</si>
  <si>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</si>
  <si>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</si>
  <si>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</si>
  <si>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</si>
  <si>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</si>
  <si>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</si>
  <si>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</si>
  <si>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</si>
  <si>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</si>
  <si>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</si>
  <si>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</si>
  <si>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</si>
  <si>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</si>
  <si>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</si>
  <si>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</si>
  <si>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</si>
  <si>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</si>
  <si>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</si>
  <si>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</si>
  <si>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</si>
  <si>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</si>
  <si>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</si>
  <si>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</si>
  <si>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</si>
  <si>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</si>
  <si>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</si>
  <si>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</si>
  <si>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</si>
  <si>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</si>
  <si>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</si>
  <si>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</si>
  <si>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</si>
  <si>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</si>
  <si>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</si>
  <si>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</si>
  <si>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</si>
  <si>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</si>
  <si>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</si>
  <si>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</si>
  <si>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</si>
  <si>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</si>
  <si>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</si>
  <si>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</si>
  <si>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</si>
  <si>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</si>
  <si>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</si>
  <si>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</si>
  <si>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</si>
  <si>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</si>
  <si>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</si>
  <si>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</si>
  <si>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</si>
  <si>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</si>
  <si>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</si>
  <si>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</si>
  <si>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</si>
  <si>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</si>
  <si>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</si>
  <si>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</si>
  <si>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</si>
  <si>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</si>
  <si>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</si>
  <si>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</si>
  <si>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</si>
  <si>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</si>
  <si>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</si>
  <si>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</si>
  <si>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</si>
  <si>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</si>
  <si>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</si>
  <si>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</si>
  <si>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</si>
  <si>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</si>
  <si>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</si>
  <si>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</si>
  <si>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</si>
  <si>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</si>
  <si>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</si>
  <si>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</si>
  <si>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</si>
  <si>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</si>
  <si>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</si>
  <si>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</si>
  <si>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</si>
  <si>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</si>
  <si>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</si>
  <si>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</si>
  <si>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</si>
  <si>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</si>
  <si>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</si>
  <si>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</si>
  <si>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</si>
  <si>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</si>
  <si>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</si>
  <si>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</si>
  <si>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</si>
  <si>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</si>
  <si>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</si>
  <si>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</si>
  <si>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</si>
  <si>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</si>
  <si>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</si>
  <si>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</si>
  <si>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</si>
  <si>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</si>
  <si>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</si>
  <si>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</si>
  <si>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</si>
  <si>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</si>
  <si>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</si>
  <si>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</si>
  <si>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</si>
  <si>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</si>
  <si>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</si>
  <si>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</si>
  <si>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</si>
  <si>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</si>
  <si>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</si>
  <si>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</si>
  <si>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</si>
  <si>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</si>
  <si>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</si>
  <si>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</si>
  <si>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</si>
  <si>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</si>
  <si>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</si>
  <si>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</si>
  <si>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</si>
  <si>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</si>
  <si>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</si>
  <si>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</si>
  <si>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</si>
  <si>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</si>
  <si>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</si>
  <si>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</si>
  <si>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</si>
  <si>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</si>
  <si>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</si>
  <si>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</si>
  <si>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</si>
  <si>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</si>
  <si>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</si>
  <si>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</si>
  <si>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</si>
  <si>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</si>
  <si>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</si>
  <si>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</si>
  <si>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</si>
  <si>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</si>
  <si>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</si>
  <si>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</si>
  <si>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</si>
  <si>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</si>
  <si>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</si>
  <si>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</si>
  <si>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</si>
  <si>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</si>
  <si>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</si>
  <si>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</si>
  <si>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</si>
  <si>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</si>
  <si>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</si>
  <si>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</si>
  <si>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</si>
  <si>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</si>
  <si>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</si>
  <si>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</si>
  <si>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</si>
  <si>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</si>
  <si>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</si>
  <si>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</si>
  <si>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</si>
  <si>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</si>
  <si>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</si>
  <si>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</si>
  <si>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</si>
  <si>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</si>
  <si>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</si>
  <si>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</si>
  <si>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</si>
  <si>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</si>
  <si>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</si>
  <si>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</si>
  <si>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</si>
  <si>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</si>
  <si>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</si>
  <si>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</si>
  <si>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</si>
  <si>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</si>
  <si>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</si>
  <si>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</si>
  <si>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</si>
  <si>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</si>
  <si>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</si>
  <si>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</si>
  <si>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</si>
  <si>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</si>
  <si>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</si>
  <si>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</si>
  <si>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</si>
  <si>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</si>
  <si>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</si>
  <si>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</si>
  <si>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</si>
  <si>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</si>
  <si>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</si>
  <si>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</si>
  <si>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</si>
  <si>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</si>
  <si>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</si>
  <si>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</si>
  <si>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</si>
  <si>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</si>
  <si>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</si>
  <si>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</si>
  <si>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</si>
  <si>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</si>
  <si>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</si>
  <si>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</si>
  <si>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</si>
  <si>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</si>
  <si>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</si>
  <si>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</si>
  <si>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</si>
  <si>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</si>
  <si>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</si>
  <si>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</si>
  <si>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</si>
  <si>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</si>
  <si>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</si>
  <si>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</si>
  <si>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</si>
  <si>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</si>
  <si>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</si>
  <si>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</si>
  <si>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</si>
  <si>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</si>
  <si>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</si>
  <si>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</si>
  <si>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</si>
  <si>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</si>
  <si>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</si>
  <si>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</si>
  <si>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</si>
  <si>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</si>
  <si>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</si>
  <si>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</si>
  <si>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</si>
  <si>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</si>
  <si>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</si>
  <si>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</si>
  <si>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</si>
  <si>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</si>
  <si>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</si>
  <si>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</si>
  <si>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</si>
  <si>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</si>
  <si>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</si>
  <si>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</si>
  <si>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</si>
  <si>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</si>
  <si>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</si>
  <si>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</si>
  <si>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</si>
  <si>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</si>
  <si>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</si>
  <si>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</si>
  <si>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</si>
  <si>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</si>
  <si>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</si>
  <si>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</si>
  <si>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</si>
  <si>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</si>
  <si>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</si>
  <si>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</si>
  <si>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</si>
  <si>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</si>
  <si>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</si>
  <si>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</si>
  <si>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</si>
  <si>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</si>
  <si>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</si>
  <si>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</si>
  <si>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</si>
  <si>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</si>
  <si>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</si>
  <si>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</si>
  <si>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</si>
  <si>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</si>
  <si>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</si>
  <si>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</si>
  <si>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</si>
  <si>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</si>
  <si>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</si>
  <si>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</si>
  <si>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</si>
  <si>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</si>
  <si>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</si>
  <si>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</si>
  <si>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</si>
  <si>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</si>
  <si>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</si>
  <si>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</si>
  <si>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</si>
  <si>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</si>
  <si>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</si>
  <si>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</si>
  <si>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</si>
  <si>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</si>
  <si>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</si>
  <si>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</si>
  <si>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</si>
  <si>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</si>
  <si>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</si>
  <si>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</si>
  <si>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</si>
  <si>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</si>
  <si>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</si>
  <si>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</si>
  <si>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</si>
  <si>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</si>
  <si>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</si>
  <si>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</si>
  <si>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</si>
  <si>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</si>
  <si>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</si>
  <si>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</si>
  <si>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</si>
  <si>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</si>
  <si>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</si>
  <si>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</si>
  <si>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</si>
  <si>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</si>
  <si>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</si>
  <si>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</si>
  <si>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</si>
  <si>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</si>
  <si>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</si>
  <si>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</si>
  <si>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</si>
  <si>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</si>
  <si>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</si>
  <si>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</si>
  <si>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</si>
  <si>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</si>
  <si>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</si>
  <si>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</si>
  <si>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</si>
  <si>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</si>
  <si>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</si>
  <si>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</si>
  <si>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</si>
  <si>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</si>
  <si>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</si>
  <si>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</si>
  <si>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</si>
  <si>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</si>
  <si>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</si>
  <si>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</si>
  <si>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</si>
  <si>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</si>
  <si>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</si>
  <si>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</si>
  <si>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</si>
  <si>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</si>
  <si>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</si>
  <si>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</si>
  <si>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</si>
  <si>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</si>
  <si>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</si>
  <si>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</si>
  <si>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</si>
  <si>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</si>
  <si>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</si>
  <si>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</si>
  <si>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</si>
  <si>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</si>
  <si>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</si>
  <si>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</si>
  <si>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</si>
  <si>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</si>
  <si>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</si>
  <si>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</si>
  <si>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</si>
  <si>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</si>
  <si>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</si>
  <si>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</si>
  <si>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</si>
  <si>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</si>
  <si>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</si>
  <si>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</si>
  <si>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</si>
  <si>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</si>
  <si>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</si>
  <si>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</si>
  <si>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</si>
  <si>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</si>
  <si>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</si>
  <si>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</si>
  <si>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</si>
  <si>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</si>
  <si>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</si>
  <si>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</si>
  <si>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</si>
  <si>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</si>
  <si>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</si>
  <si>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</si>
  <si>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</si>
  <si>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</si>
  <si>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</si>
  <si>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</si>
  <si>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</si>
  <si>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</si>
  <si>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</si>
  <si>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</si>
  <si>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</si>
  <si>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</si>
  <si>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</si>
  <si>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</si>
  <si>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</si>
  <si>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</si>
  <si>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</si>
  <si>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</si>
  <si>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</si>
  <si>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</si>
  <si>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</si>
  <si>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</si>
  <si>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</si>
  <si>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</si>
  <si>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</si>
  <si>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</si>
  <si>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</si>
  <si>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</si>
  <si>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</si>
  <si>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</si>
  <si>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</si>
  <si>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</si>
  <si>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</si>
  <si>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</si>
  <si>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</si>
  <si>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</si>
  <si>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</si>
  <si>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</si>
  <si>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</si>
  <si>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</si>
  <si>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</si>
  <si>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</si>
  <si>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</si>
  <si>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</si>
  <si>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</si>
  <si>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</si>
  <si>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</si>
  <si>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</si>
  <si>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</si>
  <si>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</si>
  <si>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</si>
  <si>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</si>
  <si>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</si>
  <si>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</si>
  <si>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</si>
  <si>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</si>
  <si>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</si>
  <si>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</si>
  <si>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</si>
  <si>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</si>
  <si>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</si>
  <si>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</si>
  <si>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</si>
  <si>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</si>
  <si>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</si>
  <si>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</si>
  <si>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</si>
  <si>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</si>
  <si>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</si>
  <si>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</si>
  <si>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</si>
  <si>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</si>
  <si>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</si>
  <si>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</si>
  <si>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</si>
  <si>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</si>
  <si>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</si>
  <si>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</si>
  <si>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</si>
  <si>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</si>
  <si>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</si>
  <si>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</si>
  <si>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</si>
  <si>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</si>
  <si>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</si>
  <si>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</si>
  <si>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</si>
  <si>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</si>
  <si>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</si>
  <si>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</si>
  <si>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</si>
  <si>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</si>
  <si>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</si>
  <si>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</si>
  <si>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</si>
  <si>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</si>
  <si>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</si>
  <si>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</si>
  <si>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</si>
  <si>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</si>
  <si>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</si>
  <si>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</si>
  <si>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</si>
  <si>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</si>
  <si>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</si>
  <si>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</si>
  <si>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</si>
  <si>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</si>
  <si>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</si>
  <si>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</si>
  <si>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</si>
  <si>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</si>
  <si>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</si>
  <si>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</si>
  <si>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</si>
  <si>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</si>
  <si>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</si>
  <si>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</si>
  <si>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</si>
  <si>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</si>
  <si>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</si>
  <si>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</si>
  <si>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</si>
  <si>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</si>
  <si>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</si>
  <si>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</si>
  <si>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</si>
  <si>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</si>
  <si>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</si>
  <si>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</si>
  <si>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</si>
  <si>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</si>
  <si>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</si>
  <si>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</si>
  <si>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</si>
  <si>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</si>
  <si>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</si>
  <si>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</si>
  <si>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</si>
  <si>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</si>
  <si>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</si>
  <si>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</si>
  <si>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</si>
  <si>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</si>
  <si>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</si>
  <si>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</si>
  <si>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</si>
  <si>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</si>
  <si>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</si>
  <si>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</si>
  <si>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</si>
  <si>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</si>
  <si>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</si>
  <si>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</si>
  <si>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</si>
  <si>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</si>
  <si>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</si>
  <si>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</si>
  <si>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</si>
  <si>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</si>
  <si>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</si>
  <si>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</si>
  <si>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</si>
  <si>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</si>
  <si>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</si>
  <si>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</si>
  <si>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</si>
  <si>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</si>
  <si>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</si>
  <si>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</si>
  <si>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</si>
  <si>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</si>
  <si>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</si>
  <si>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</si>
  <si>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</si>
  <si>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</si>
  <si>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</si>
  <si>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</si>
  <si>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</si>
  <si>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</si>
  <si>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</si>
  <si>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</si>
  <si>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</si>
  <si>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</si>
  <si>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</si>
  <si>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</si>
  <si>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</si>
  <si>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</si>
  <si>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</si>
  <si>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</si>
  <si>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</si>
  <si>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</si>
  <si>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</si>
  <si>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</si>
  <si>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</si>
  <si>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</si>
  <si>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</si>
  <si>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</si>
  <si>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</si>
  <si>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</si>
  <si>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</si>
  <si>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</si>
  <si>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</si>
  <si>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</si>
  <si>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</si>
  <si>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</si>
  <si>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</si>
  <si>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</si>
  <si>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</si>
  <si>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</si>
  <si>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</si>
  <si>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</si>
  <si>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</si>
  <si>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</si>
  <si>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</si>
  <si>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</si>
  <si>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</si>
  <si>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</si>
  <si>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</si>
  <si>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</si>
  <si>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</si>
  <si>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</si>
  <si>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</si>
  <si>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</si>
  <si>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</si>
  <si>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</si>
  <si>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</si>
  <si>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</si>
  <si>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</si>
  <si>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</si>
  <si>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</si>
  <si>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</si>
  <si>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</si>
  <si>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</si>
  <si>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</si>
  <si>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</si>
  <si>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</si>
  <si>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</si>
  <si>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</si>
  <si>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</si>
  <si>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</si>
  <si>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</si>
  <si>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</si>
  <si>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</si>
  <si>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</si>
  <si>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</si>
  <si>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</si>
  <si>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</si>
  <si>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</si>
  <si>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</si>
  <si>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</si>
  <si>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</si>
  <si>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</si>
  <si>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</si>
  <si>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</si>
  <si>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</si>
  <si>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</si>
  <si>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</si>
  <si>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</si>
  <si>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</si>
  <si>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</si>
  <si>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</si>
  <si>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</si>
  <si>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</si>
  <si>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</si>
  <si>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</si>
  <si>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</si>
  <si>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</si>
  <si>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</si>
  <si>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</si>
  <si>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</si>
  <si>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</si>
  <si>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</si>
  <si>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</si>
  <si>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</si>
  <si>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</si>
  <si>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</si>
  <si>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</si>
  <si>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</si>
  <si>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</si>
  <si>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</si>
  <si>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</si>
  <si>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</si>
  <si>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</si>
  <si>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</si>
  <si>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</si>
  <si>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</si>
  <si>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</si>
  <si>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</si>
  <si>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</si>
  <si>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</si>
  <si>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</si>
  <si>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</si>
  <si>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</si>
  <si>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</si>
  <si>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</si>
  <si>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</si>
  <si>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</si>
  <si>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</si>
  <si>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</si>
  <si>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</si>
  <si>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</si>
  <si>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</si>
  <si>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</si>
  <si>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</si>
  <si>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</si>
  <si>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</si>
  <si>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</si>
  <si>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</si>
  <si>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</si>
  <si>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</si>
  <si>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</si>
  <si>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</si>
  <si>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</si>
  <si>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</si>
  <si>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</si>
  <si>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</si>
  <si>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</si>
  <si>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</si>
  <si>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</si>
  <si>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</si>
  <si>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</si>
  <si>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</si>
  <si>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</si>
  <si>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</si>
  <si>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</si>
  <si>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</si>
  <si>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</si>
  <si>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</si>
  <si>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</si>
  <si>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</si>
  <si>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</si>
  <si>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</si>
  <si>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</si>
  <si>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</si>
  <si>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</si>
  <si>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</si>
  <si>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</si>
  <si>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</si>
  <si>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</si>
  <si>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</si>
  <si>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</si>
  <si>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</si>
  <si>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</si>
  <si>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</si>
  <si>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</si>
  <si>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</si>
  <si>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</si>
  <si>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</si>
  <si>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</si>
  <si>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</si>
  <si>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</si>
  <si>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</si>
  <si>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</si>
  <si>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</si>
  <si>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</si>
  <si>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</si>
  <si>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</si>
  <si>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</si>
  <si>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</si>
  <si>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</si>
  <si>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</si>
  <si>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</si>
  <si>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</si>
  <si>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</si>
  <si>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</si>
  <si>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</si>
  <si>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</si>
  <si>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</si>
  <si>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</si>
  <si>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</si>
  <si>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</si>
  <si>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</si>
  <si>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</si>
  <si>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</si>
  <si>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</si>
  <si>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</si>
  <si>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</si>
  <si>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</si>
  <si>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</si>
  <si>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</si>
  <si>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</si>
  <si>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</si>
  <si>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</si>
  <si>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</si>
  <si>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</si>
  <si>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</si>
  <si>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</si>
  <si>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</si>
  <si>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</si>
  <si>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</si>
  <si>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</si>
  <si>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</si>
  <si>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</si>
  <si>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</si>
  <si>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</si>
  <si>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</si>
  <si>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</si>
  <si>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</si>
  <si>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</si>
  <si>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</si>
  <si>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</si>
  <si>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</si>
  <si>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</si>
  <si>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</si>
  <si>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</si>
  <si>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</si>
  <si>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</si>
  <si>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</si>
  <si>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</si>
  <si>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</si>
  <si>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</si>
  <si>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</si>
  <si>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</si>
  <si>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</si>
  <si>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</si>
  <si>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</si>
  <si>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</si>
  <si>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</si>
  <si>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</si>
  <si>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</si>
  <si>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</si>
  <si>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</si>
  <si>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</si>
  <si>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</si>
  <si>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</si>
  <si>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</si>
  <si>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</si>
  <si>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</si>
  <si>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</si>
  <si>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</si>
  <si>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</si>
  <si>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</si>
  <si>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</si>
  <si>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</si>
  <si>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</si>
  <si>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</si>
  <si>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</si>
  <si>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</si>
  <si>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</si>
  <si>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</si>
  <si>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</si>
  <si>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</si>
  <si>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</si>
  <si>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</si>
  <si>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</si>
  <si>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</si>
  <si>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</si>
  <si>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</si>
  <si>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</si>
  <si>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</si>
  <si>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</si>
  <si>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</si>
  <si>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</si>
  <si>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</si>
  <si>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</si>
  <si>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</si>
  <si>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</si>
  <si>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</si>
  <si>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</si>
  <si>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</si>
  <si>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</si>
  <si>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</si>
  <si>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</si>
  <si>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</si>
  <si>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</si>
  <si>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</si>
  <si>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</si>
  <si>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</si>
  <si>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</si>
  <si>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</si>
  <si>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</si>
  <si>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</si>
  <si>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</si>
  <si>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</si>
  <si>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</si>
  <si>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</si>
  <si>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</si>
  <si>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</si>
  <si>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</si>
  <si>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</si>
  <si>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</si>
  <si>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</si>
  <si>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</si>
  <si>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</si>
  <si>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</si>
  <si>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</si>
  <si>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</si>
  <si>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</si>
  <si>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</si>
  <si>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</si>
  <si>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</si>
  <si>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</si>
  <si>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</si>
  <si>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</si>
  <si>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</si>
  <si>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</si>
  <si>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</si>
  <si>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</si>
  <si>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</si>
  <si>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</si>
  <si>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</si>
  <si>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</si>
  <si>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</si>
  <si>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</si>
  <si>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</si>
  <si>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</si>
  <si>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</si>
  <si>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</si>
  <si>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</si>
  <si>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</si>
  <si>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</si>
  <si>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</si>
  <si>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</si>
  <si>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</si>
  <si>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</si>
  <si>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</si>
  <si>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</si>
  <si>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</si>
  <si>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</si>
  <si>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</si>
  <si>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</si>
  <si>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</si>
  <si>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</si>
  <si>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</si>
  <si>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</si>
  <si>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</si>
  <si>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</si>
  <si>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</si>
  <si>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</si>
  <si>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</si>
  <si>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</si>
  <si>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</si>
  <si>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</si>
  <si>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</si>
  <si>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</si>
  <si>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</si>
  <si>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</si>
  <si>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</si>
  <si>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</si>
  <si>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</si>
  <si>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</si>
  <si>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</si>
  <si>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</si>
  <si>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</si>
  <si>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</si>
  <si>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</si>
  <si>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</si>
  <si>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</si>
  <si>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</si>
  <si>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</si>
  <si>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</si>
  <si>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</si>
  <si>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</si>
  <si>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</si>
  <si>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</si>
  <si>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</si>
  <si>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</si>
  <si>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</si>
  <si>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</si>
  <si>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</si>
  <si>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</si>
  <si>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</si>
  <si>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</si>
  <si>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</si>
  <si>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</si>
  <si>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</si>
  <si>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</si>
  <si>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</si>
  <si>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</si>
  <si>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</si>
  <si>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</si>
  <si>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</si>
  <si>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</si>
  <si>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</si>
  <si>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</si>
  <si>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</si>
  <si>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</si>
  <si>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</si>
  <si>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</si>
  <si>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</si>
  <si>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</si>
  <si>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</si>
  <si>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</si>
  <si>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</si>
  <si>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</si>
  <si>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</si>
  <si>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</si>
  <si>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</si>
  <si>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</si>
  <si>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</si>
  <si>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</si>
  <si>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</si>
  <si>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</si>
  <si>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</si>
  <si>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</si>
  <si>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</si>
  <si>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</si>
  <si>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</si>
  <si>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</si>
  <si>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</si>
  <si>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</si>
  <si>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</si>
  <si>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</si>
  <si>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</si>
  <si>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</si>
  <si>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</si>
  <si>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</si>
  <si>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</si>
  <si>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</si>
  <si>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</si>
  <si>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</si>
  <si>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</si>
  <si>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</si>
  <si>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</si>
  <si>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</si>
  <si>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</si>
  <si>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</si>
  <si>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</si>
  <si>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</si>
  <si>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</si>
  <si>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</si>
  <si>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</si>
  <si>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</si>
  <si>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</si>
  <si>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</si>
  <si>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</si>
  <si>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</si>
  <si>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</si>
  <si>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</si>
  <si>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</si>
  <si>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</si>
  <si>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</si>
  <si>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</si>
  <si>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</si>
  <si>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</si>
  <si>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</si>
  <si>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</si>
  <si>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</si>
  <si>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</si>
  <si>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</si>
  <si>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</si>
  <si>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</si>
  <si>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</si>
  <si>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</si>
  <si>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</si>
  <si>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</si>
  <si>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</si>
  <si>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</si>
  <si>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</si>
  <si>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</si>
  <si>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</si>
  <si>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</si>
  <si>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</si>
  <si>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</si>
  <si>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</si>
  <si>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</si>
  <si>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</si>
  <si>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</si>
  <si>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</si>
  <si>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</si>
  <si>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</si>
  <si>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</si>
  <si>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</si>
  <si>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</si>
  <si>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</si>
  <si>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</si>
  <si>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</si>
  <si>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</si>
  <si>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</si>
  <si>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</si>
  <si>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</si>
  <si>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</si>
  <si>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</si>
  <si>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</si>
  <si>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</si>
  <si>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</si>
  <si>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</si>
  <si>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</si>
  <si>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</si>
  <si>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</si>
  <si>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</si>
  <si>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</si>
  <si>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</si>
  <si>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</si>
  <si>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</si>
  <si>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</si>
  <si>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</si>
  <si>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</si>
  <si>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</si>
  <si>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</si>
  <si>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</si>
  <si>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</si>
  <si>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</si>
  <si>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</si>
  <si>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</si>
  <si>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</si>
  <si>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</si>
  <si>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</si>
  <si>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</si>
  <si>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</si>
  <si>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</si>
  <si>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</si>
  <si>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</si>
  <si>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</si>
  <si>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</si>
  <si>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</si>
  <si>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</si>
  <si>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</si>
  <si>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</si>
  <si>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</si>
  <si>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</si>
  <si>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</si>
  <si>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</si>
  <si>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</si>
  <si>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</si>
  <si>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</si>
  <si>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</si>
  <si>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</si>
  <si>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</si>
  <si>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</si>
  <si>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</si>
  <si>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</si>
  <si>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</si>
  <si>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</si>
  <si>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</si>
  <si>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</si>
  <si>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</si>
  <si>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</si>
  <si>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</si>
  <si>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</si>
  <si>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</si>
  <si>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</si>
  <si>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</si>
  <si>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</si>
  <si>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</si>
  <si>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</si>
  <si>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</si>
  <si>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</si>
  <si>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</si>
  <si>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</si>
  <si>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</si>
  <si>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</si>
  <si>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</si>
  <si>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</si>
  <si>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</si>
  <si>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</si>
  <si>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</si>
  <si>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</si>
  <si>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</si>
  <si>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</si>
  <si>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</si>
  <si>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</si>
  <si>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</si>
  <si>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</si>
  <si>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</si>
  <si>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</si>
  <si>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</si>
  <si>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</si>
  <si>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</si>
  <si>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</si>
  <si>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</si>
  <si>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</si>
  <si>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</si>
  <si>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</si>
  <si>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</si>
  <si>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</si>
  <si>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</si>
  <si>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</si>
  <si>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</si>
  <si>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</si>
  <si>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</si>
  <si>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</si>
  <si>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</si>
  <si>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</si>
  <si>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</si>
  <si>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</si>
  <si>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</si>
  <si>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</si>
  <si>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</si>
  <si>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</si>
  <si>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</si>
  <si>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</si>
  <si>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</si>
  <si>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</si>
  <si>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</si>
  <si>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</si>
  <si>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</si>
  <si>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</si>
  <si>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</si>
  <si>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</si>
  <si>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</si>
  <si>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</si>
  <si>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</si>
  <si>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</si>
  <si>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</si>
  <si>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</si>
  <si>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</si>
  <si>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</si>
  <si>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</si>
  <si>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</si>
  <si>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</si>
  <si>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</si>
  <si>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</si>
  <si>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</si>
  <si>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</si>
  <si>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</si>
  <si>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</si>
  <si>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</si>
  <si>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</si>
  <si>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</si>
  <si>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</si>
  <si>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</si>
  <si>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</si>
  <si>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</si>
  <si>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</si>
  <si>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</si>
  <si>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</si>
  <si>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</si>
  <si>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</si>
  <si>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</si>
  <si>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</si>
  <si>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</si>
  <si>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</si>
  <si>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</si>
  <si>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</si>
  <si>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</si>
  <si>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</si>
  <si>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</si>
  <si>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</si>
  <si>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</si>
  <si>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</si>
  <si>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</si>
  <si>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</si>
  <si>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</si>
  <si>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</si>
  <si>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</si>
  <si>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</si>
  <si>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</si>
  <si>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</si>
  <si>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</si>
  <si>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</si>
  <si>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</si>
  <si>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</si>
  <si>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</si>
  <si>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</si>
  <si>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</si>
  <si>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</si>
  <si>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</si>
  <si>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</si>
  <si>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</si>
  <si>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</si>
  <si>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</si>
  <si>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</si>
  <si>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</si>
  <si>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</si>
  <si>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</si>
  <si>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</si>
  <si>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</si>
  <si>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</si>
  <si>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</si>
  <si>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</si>
  <si>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</si>
  <si>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</si>
  <si>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</si>
  <si>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</si>
  <si>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</si>
  <si>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</si>
  <si>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</si>
  <si>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</si>
  <si>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</si>
  <si>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</si>
  <si>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</si>
  <si>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</si>
  <si>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</si>
  <si>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</si>
  <si>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</si>
  <si>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</si>
  <si>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</si>
  <si>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</si>
  <si>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</si>
  <si>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</si>
  <si>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</si>
  <si>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</si>
  <si>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</si>
  <si>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</si>
  <si>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</si>
  <si>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</si>
  <si>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</si>
  <si>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</si>
  <si>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</si>
  <si>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</si>
  <si>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</si>
  <si>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</si>
  <si>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</si>
  <si>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</si>
  <si>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</si>
  <si>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</si>
  <si>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</si>
  <si>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</si>
  <si>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</si>
  <si>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</si>
  <si>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</si>
  <si>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</si>
  <si>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</si>
  <si>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</si>
  <si>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</si>
  <si>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</si>
  <si>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</si>
  <si>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</si>
  <si>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</si>
  <si>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</si>
  <si>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</si>
  <si>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</si>
  <si>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</si>
  <si>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</si>
  <si>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</si>
  <si>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</si>
  <si>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</si>
  <si>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</si>
  <si>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</si>
  <si>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</si>
  <si>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</si>
  <si>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</si>
  <si>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</si>
  <si>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</si>
  <si>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</si>
  <si>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</si>
  <si>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</si>
  <si>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</si>
  <si>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</si>
  <si>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</si>
  <si>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</si>
  <si>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</si>
  <si>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</si>
  <si>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</si>
  <si>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</si>
  <si>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</si>
  <si>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</si>
  <si>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</si>
  <si>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</si>
  <si>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</si>
  <si>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</si>
  <si>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</si>
  <si>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</si>
  <si>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</si>
  <si>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</si>
  <si>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</si>
  <si>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</si>
  <si>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</si>
  <si>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</si>
  <si>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</si>
  <si>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</si>
  <si>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</si>
  <si>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</si>
  <si>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</si>
  <si>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</si>
  <si>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</si>
  <si>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</si>
  <si>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</si>
  <si>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</si>
  <si>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</si>
  <si>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</si>
  <si>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</si>
  <si>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</si>
  <si>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</si>
  <si>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</si>
  <si>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</si>
  <si>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</si>
  <si>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</si>
  <si>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</si>
  <si>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</si>
  <si>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</si>
  <si>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</si>
  <si>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</si>
  <si>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</si>
  <si>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</si>
  <si>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</si>
  <si>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</si>
  <si>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</si>
  <si>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</si>
  <si>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</si>
  <si>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</si>
  <si>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</si>
  <si>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</si>
  <si>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</si>
  <si>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</si>
  <si>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</si>
  <si>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</si>
  <si>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</si>
  <si>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</si>
  <si>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</si>
  <si>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</si>
  <si>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</si>
  <si>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</si>
  <si>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</si>
  <si>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</si>
  <si>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</si>
  <si>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</si>
  <si>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</si>
  <si>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</si>
  <si>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</si>
  <si>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</si>
  <si>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</si>
  <si>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</si>
  <si>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</si>
  <si>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</si>
  <si>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</si>
  <si>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</si>
  <si>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</si>
  <si>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</si>
  <si>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</si>
  <si>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</si>
  <si>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</si>
  <si>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</si>
  <si>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</si>
  <si>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</si>
  <si>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</si>
  <si>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</si>
  <si>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</si>
  <si>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</si>
  <si>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</si>
  <si>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</si>
  <si>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</si>
  <si>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</si>
  <si>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</si>
  <si>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</si>
  <si>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</si>
  <si>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</si>
  <si>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</si>
  <si>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</si>
  <si>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</si>
  <si>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</si>
  <si>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</si>
  <si>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</si>
  <si>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</si>
  <si>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</si>
  <si>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</si>
  <si>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</si>
  <si>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</si>
  <si>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</si>
  <si>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</si>
  <si>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</si>
  <si>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</si>
  <si>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</si>
  <si>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</si>
  <si>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</si>
  <si>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</si>
  <si>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</si>
  <si>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</si>
  <si>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</si>
  <si>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</si>
  <si>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</si>
  <si>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</si>
  <si>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</si>
  <si>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</si>
  <si>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</si>
  <si>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</si>
  <si>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</si>
  <si>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</si>
  <si>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</si>
  <si>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</si>
  <si>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</si>
  <si>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</si>
  <si>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</si>
  <si>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</si>
  <si>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</si>
  <si>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</si>
  <si>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</si>
  <si>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</si>
  <si>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</si>
  <si>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</si>
  <si>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</si>
  <si>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</si>
  <si>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</si>
  <si>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</si>
  <si>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</si>
  <si>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</si>
  <si>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</si>
  <si>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</si>
  <si>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</si>
  <si>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</si>
  <si>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</si>
  <si>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</si>
  <si>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</si>
  <si>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</si>
  <si>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</si>
  <si>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</si>
  <si>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</si>
  <si>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</si>
  <si>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</si>
  <si>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</si>
  <si>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</si>
  <si>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</si>
  <si>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</si>
  <si>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</si>
  <si>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</si>
  <si>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</si>
  <si>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</si>
  <si>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</si>
  <si>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</si>
  <si>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</si>
  <si>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</si>
  <si>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</si>
  <si>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</si>
  <si>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</si>
  <si>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</si>
  <si>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</si>
  <si>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</si>
  <si>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</si>
  <si>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</si>
  <si>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</si>
  <si>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</si>
  <si>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</si>
  <si>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</si>
  <si>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</si>
  <si>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</si>
  <si>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</si>
  <si>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</si>
  <si>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</si>
  <si>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</si>
  <si>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</si>
  <si>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</si>
  <si>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</si>
  <si>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</si>
  <si>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</si>
  <si>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</si>
  <si>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</si>
  <si>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</si>
  <si>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</si>
  <si>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</si>
  <si>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</si>
  <si>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</si>
  <si>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</si>
  <si>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</si>
  <si>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</si>
  <si>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</si>
  <si>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</si>
  <si>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</si>
  <si>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</si>
  <si>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</si>
  <si>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</si>
  <si>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</si>
  <si>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</si>
  <si>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</si>
  <si>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</si>
  <si>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</si>
  <si>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</si>
  <si>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</si>
  <si>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</si>
  <si>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</si>
  <si>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</si>
  <si>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</si>
  <si>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</si>
  <si>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</si>
  <si>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</si>
  <si>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</si>
  <si>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</si>
  <si>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</si>
  <si>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</si>
  <si>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</si>
  <si>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</si>
  <si>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</si>
  <si>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</si>
  <si>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</si>
  <si>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</si>
  <si>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</si>
  <si>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</si>
  <si>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</si>
  <si>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</si>
  <si>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</si>
  <si>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</si>
  <si>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</si>
  <si>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</si>
  <si>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</si>
  <si>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</si>
  <si>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</si>
  <si>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</si>
  <si>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</si>
  <si>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</si>
  <si>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</si>
  <si>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</si>
  <si>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</si>
  <si>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</si>
  <si>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</si>
  <si>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</si>
  <si>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</si>
  <si>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</si>
  <si>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</si>
  <si>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</si>
  <si>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</si>
  <si>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</si>
  <si>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</si>
  <si>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</si>
  <si>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</si>
  <si>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</si>
  <si>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</si>
  <si>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</si>
  <si>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</si>
  <si>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</si>
  <si>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</si>
  <si>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</si>
  <si>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</si>
  <si>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</si>
  <si>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</si>
  <si>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</si>
  <si>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</si>
  <si>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</si>
  <si>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</si>
  <si>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</si>
  <si>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</si>
  <si>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</si>
  <si>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</si>
  <si>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</si>
  <si>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</si>
  <si>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</si>
  <si>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</si>
  <si>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</si>
  <si>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</si>
  <si>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</si>
  <si>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</si>
  <si>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</si>
  <si>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</si>
  <si>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</si>
  <si>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</si>
  <si>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</si>
  <si>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</si>
  <si>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</si>
  <si>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</si>
  <si>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</si>
  <si>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</si>
  <si>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</si>
  <si>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</si>
  <si>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</si>
  <si>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</si>
  <si>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</si>
  <si>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</si>
  <si>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</si>
  <si>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</si>
  <si>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</si>
  <si>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</si>
  <si>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</si>
  <si>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</si>
  <si>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</si>
  <si>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</si>
  <si>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</si>
  <si>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</si>
  <si>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</si>
  <si>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</si>
  <si>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</si>
  <si>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</si>
  <si>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</si>
  <si>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</si>
  <si>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</si>
  <si>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</si>
  <si>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</si>
  <si>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</si>
  <si>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</si>
  <si>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</si>
  <si>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</si>
  <si>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</si>
  <si>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</si>
  <si>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</si>
  <si>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</si>
  <si>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</si>
  <si>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</si>
  <si>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</si>
  <si>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</si>
  <si>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</si>
  <si>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</si>
  <si>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</si>
  <si>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</si>
  <si>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</si>
  <si>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</si>
  <si>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</si>
  <si>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</si>
  <si>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</si>
  <si>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</si>
  <si>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</si>
  <si>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</si>
  <si>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</si>
  <si>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</si>
  <si>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</si>
  <si>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</si>
  <si>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</si>
  <si>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</si>
  <si>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</si>
  <si>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</si>
  <si>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</si>
  <si>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</si>
  <si>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</si>
  <si>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</si>
  <si>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</si>
  <si>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</si>
  <si>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</si>
  <si>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</si>
  <si>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</si>
  <si>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</si>
  <si>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</si>
  <si>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</si>
  <si>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</si>
  <si>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</si>
  <si>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</si>
  <si>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</si>
  <si>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</si>
  <si>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</si>
  <si>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</si>
  <si>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</si>
  <si>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</si>
  <si>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</si>
  <si>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</si>
  <si>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</si>
  <si>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</si>
  <si>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</si>
  <si>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</si>
  <si>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</si>
  <si>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</si>
  <si>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</si>
  <si>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</si>
  <si>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</si>
  <si>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</si>
  <si>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</si>
  <si>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</si>
  <si>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</si>
  <si>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</si>
  <si>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</si>
  <si>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</si>
  <si>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</si>
  <si>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</si>
  <si>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</si>
  <si>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</si>
  <si>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</si>
  <si>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</si>
  <si>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</si>
  <si>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</si>
  <si>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</si>
  <si>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</si>
  <si>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</si>
  <si>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</si>
  <si>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</si>
  <si>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</si>
  <si>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</si>
  <si>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</si>
  <si>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</si>
  <si>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</si>
  <si>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</si>
  <si>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</si>
  <si>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</si>
  <si>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</si>
  <si>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</si>
  <si>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</si>
  <si>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</si>
  <si>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</si>
  <si>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</si>
  <si>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</si>
  <si>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</si>
  <si>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</si>
  <si>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</si>
  <si>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</si>
  <si>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</si>
  <si>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</si>
  <si>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</si>
  <si>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</si>
  <si>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</si>
  <si>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</si>
  <si>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</si>
  <si>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</si>
  <si>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</si>
  <si>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</si>
  <si>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</si>
  <si>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</si>
  <si>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</si>
  <si>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</si>
  <si>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</si>
  <si>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</si>
  <si>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</si>
  <si>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</si>
  <si>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</si>
  <si>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</si>
  <si>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</si>
  <si>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</si>
  <si>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</si>
  <si>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</si>
  <si>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</si>
  <si>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</si>
  <si>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</si>
  <si>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</si>
  <si>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</si>
  <si>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</si>
  <si>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</si>
  <si>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</si>
  <si>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</si>
  <si>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</si>
  <si>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</si>
  <si>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</si>
  <si>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</si>
  <si>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</si>
  <si>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</si>
  <si>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</si>
  <si>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</si>
  <si>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</si>
  <si>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</si>
  <si>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</si>
  <si>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</si>
  <si>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</si>
  <si>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</si>
  <si>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</si>
  <si>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</si>
  <si>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</si>
  <si>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</si>
  <si>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</si>
  <si>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</si>
  <si>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</si>
  <si>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</si>
  <si>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</si>
  <si>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</si>
  <si>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</si>
  <si>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</si>
  <si>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</si>
  <si>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</si>
  <si>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</si>
  <si>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</si>
  <si>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</si>
  <si>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</si>
  <si>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</si>
  <si>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</si>
  <si>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</si>
  <si>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</si>
  <si>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</si>
  <si>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</si>
  <si>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</si>
  <si>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</si>
  <si>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</si>
  <si>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</si>
  <si>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</si>
  <si>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</si>
  <si>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</si>
  <si>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</si>
  <si>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</si>
  <si>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</si>
  <si>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</si>
  <si>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</si>
  <si>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</si>
  <si>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</si>
  <si>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</si>
  <si>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</si>
  <si>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</si>
  <si>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</si>
  <si>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</si>
  <si>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</si>
  <si>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</si>
  <si>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</si>
  <si>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</si>
  <si>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</si>
  <si>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</si>
  <si>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</si>
  <si>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</si>
  <si>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</si>
  <si>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</si>
  <si>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</si>
  <si>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</si>
  <si>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</si>
  <si>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</si>
  <si>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</si>
  <si>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</si>
  <si>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</si>
  <si>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</si>
  <si>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</si>
  <si>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</si>
  <si>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</si>
  <si>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</si>
  <si>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</si>
  <si>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</si>
  <si>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</si>
  <si>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</si>
  <si>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</si>
  <si>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</si>
  <si>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</si>
  <si>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</si>
  <si>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</si>
  <si>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</si>
  <si>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</si>
  <si>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</si>
  <si>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</si>
  <si>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</si>
  <si>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</si>
  <si>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</si>
  <si>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</si>
  <si>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</si>
  <si>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</si>
  <si>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</si>
  <si>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</si>
  <si>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</si>
  <si>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</si>
  <si>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</si>
  <si>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</si>
  <si>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</si>
  <si>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</si>
  <si>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</si>
  <si>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</si>
  <si>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</si>
  <si>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</si>
  <si>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</si>
  <si>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</si>
  <si>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</si>
  <si>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</si>
  <si>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</si>
  <si>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</si>
  <si>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</si>
  <si>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</si>
  <si>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</si>
  <si>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</si>
  <si>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</si>
  <si>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</si>
  <si>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</si>
  <si>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</si>
  <si>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</si>
  <si>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</si>
  <si>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</si>
  <si>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</si>
  <si>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</si>
  <si>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</si>
  <si>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</si>
  <si>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</si>
  <si>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</si>
  <si>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</si>
  <si>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</si>
  <si>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</si>
  <si>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</si>
  <si>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</si>
  <si>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</si>
  <si>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</si>
  <si>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</si>
  <si>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</si>
  <si>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</si>
  <si>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</si>
  <si>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</si>
  <si>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</si>
  <si>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</si>
  <si>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</si>
  <si>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</si>
  <si>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</si>
  <si>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</si>
  <si>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</si>
  <si>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</si>
  <si>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</si>
  <si>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</si>
  <si>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</si>
  <si>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</si>
  <si>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</si>
  <si>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</si>
  <si>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</si>
  <si>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</si>
  <si>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</si>
  <si>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</si>
  <si>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</si>
  <si>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</si>
  <si>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</si>
  <si>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</si>
  <si>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</si>
  <si>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</si>
  <si>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</si>
  <si>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</si>
  <si>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</si>
  <si>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</si>
  <si>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</si>
  <si>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</si>
  <si>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</si>
  <si>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</si>
  <si>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</si>
  <si>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</si>
  <si>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</si>
  <si>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</si>
  <si>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</si>
  <si>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</si>
  <si>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</si>
  <si>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</si>
  <si>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</si>
  <si>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</si>
  <si>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</si>
  <si>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</si>
  <si>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</si>
  <si>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</si>
  <si>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</si>
  <si>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</si>
  <si>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</si>
  <si>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</si>
  <si>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</si>
  <si>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</si>
  <si>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</si>
  <si>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</si>
  <si>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</si>
  <si>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</si>
  <si>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</si>
  <si>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</si>
  <si>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</si>
  <si>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</si>
  <si>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</si>
  <si>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</si>
  <si>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</si>
  <si>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</si>
  <si>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</si>
  <si>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</si>
  <si>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</si>
  <si>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</si>
  <si>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</si>
  <si>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</si>
  <si>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</si>
  <si>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</si>
  <si>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</si>
  <si>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</si>
  <si>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</si>
  <si>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</si>
  <si>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</si>
  <si>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</si>
  <si>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</si>
  <si>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</si>
  <si>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</si>
  <si>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</si>
  <si>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</si>
  <si>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</si>
  <si>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</si>
  <si>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</si>
  <si>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</si>
  <si>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</si>
  <si>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</si>
  <si>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</si>
  <si>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</si>
  <si>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</si>
  <si>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</si>
  <si>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</si>
  <si>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</si>
  <si>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</si>
  <si>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</si>
  <si>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</si>
  <si>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</si>
  <si>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</si>
  <si>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</si>
  <si>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</si>
  <si>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</si>
  <si>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</si>
  <si>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</si>
  <si>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</si>
  <si>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</si>
  <si>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</si>
  <si>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</si>
  <si>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</si>
  <si>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</si>
  <si>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</si>
  <si>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</si>
  <si>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</si>
  <si>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</si>
  <si>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</si>
  <si>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</si>
  <si>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</si>
  <si>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</si>
  <si>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</si>
  <si>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</si>
  <si>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</si>
  <si>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</si>
  <si>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</si>
  <si>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</si>
  <si>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</si>
  <si>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</si>
  <si>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</si>
  <si>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</si>
  <si>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</si>
  <si>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</si>
  <si>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</si>
  <si>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</si>
  <si>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</si>
  <si>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</si>
  <si>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</si>
  <si>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</si>
  <si>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</si>
  <si>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</si>
  <si>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</si>
  <si>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</si>
  <si>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</si>
  <si>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</si>
  <si>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</si>
  <si>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</si>
  <si>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</si>
  <si>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</si>
  <si>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</si>
  <si>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</si>
  <si>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</si>
  <si>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</si>
  <si>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</si>
  <si>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</si>
  <si>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</si>
  <si>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</si>
  <si>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</si>
  <si>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</si>
  <si>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</si>
  <si>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</si>
  <si>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</si>
  <si>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</si>
  <si>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</si>
  <si>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</si>
  <si>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</si>
  <si>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</si>
  <si>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</si>
  <si>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</si>
  <si>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</si>
  <si>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</si>
  <si>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</si>
  <si>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</si>
  <si>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</si>
  <si>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</si>
  <si>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</si>
  <si>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</si>
  <si>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</si>
  <si>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</si>
  <si>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</si>
  <si>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</si>
  <si>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</si>
  <si>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</si>
  <si>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</si>
  <si>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</si>
  <si>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</si>
  <si>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</si>
  <si>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</si>
  <si>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</si>
  <si>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</si>
  <si>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</si>
  <si>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</si>
  <si>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</si>
  <si>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</si>
  <si>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</si>
  <si>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</si>
  <si>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</si>
  <si>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</si>
  <si>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</si>
  <si>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</si>
  <si>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</si>
  <si>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</si>
  <si>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</si>
  <si>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</si>
  <si>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</si>
  <si>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</si>
  <si>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</si>
  <si>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</si>
  <si>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</si>
  <si>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</si>
  <si>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</si>
  <si>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</si>
  <si>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</si>
  <si>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</si>
  <si>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</si>
  <si>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</si>
  <si>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</si>
  <si>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</si>
  <si>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</si>
  <si>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</si>
  <si>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</si>
  <si>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</si>
  <si>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</si>
  <si>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</si>
  <si>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</si>
  <si>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</si>
  <si>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</si>
  <si>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</si>
  <si>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</si>
  <si>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</si>
  <si>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</si>
  <si>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</si>
  <si>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</si>
  <si>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</si>
  <si>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</si>
  <si>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</si>
  <si>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</si>
  <si>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</si>
  <si>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</si>
  <si>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</si>
  <si>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</si>
  <si>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</si>
  <si>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</si>
  <si>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</si>
  <si>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</si>
  <si>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</si>
  <si>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</si>
  <si>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</si>
  <si>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</si>
  <si>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</si>
  <si>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</si>
  <si>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</si>
  <si>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</si>
  <si>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</si>
  <si>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</si>
  <si>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</si>
  <si>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</si>
  <si>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</si>
  <si>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</si>
  <si>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</si>
  <si>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</si>
  <si>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</si>
  <si>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</si>
  <si>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</si>
  <si>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</si>
  <si>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</si>
  <si>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</si>
  <si>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</si>
  <si>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</si>
  <si>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</si>
  <si>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</si>
  <si>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</si>
  <si>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</si>
  <si>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</si>
  <si>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</si>
  <si>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</si>
  <si>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</si>
  <si>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</si>
  <si>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</si>
  <si>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</si>
  <si>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</si>
  <si>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</si>
  <si>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</si>
  <si>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</si>
  <si>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</si>
  <si>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</si>
  <si>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</si>
  <si>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</si>
  <si>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</si>
  <si>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</si>
  <si>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</si>
  <si>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</si>
  <si>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</si>
  <si>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</si>
  <si>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</si>
  <si>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</si>
  <si>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</si>
  <si>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</si>
  <si>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</si>
  <si>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</si>
  <si>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</si>
  <si>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</si>
  <si>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</si>
  <si>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</si>
  <si>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</si>
  <si>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</si>
  <si>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</si>
  <si>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</si>
  <si>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</si>
  <si>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</si>
  <si>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</si>
  <si>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</si>
  <si>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</si>
  <si>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</si>
  <si>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</si>
  <si>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</si>
  <si>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</si>
  <si>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</si>
  <si>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</si>
  <si>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</si>
  <si>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</si>
  <si>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</si>
  <si>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</si>
  <si>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</si>
  <si>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</si>
  <si>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</si>
  <si>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</si>
  <si>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</si>
  <si>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</si>
  <si>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</si>
  <si>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</si>
  <si>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</si>
  <si>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</si>
  <si>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</si>
  <si>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</si>
  <si>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</si>
  <si>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</si>
  <si>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</si>
  <si>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</si>
  <si>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</si>
  <si>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</si>
  <si>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</si>
  <si>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</si>
  <si>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</si>
  <si>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</si>
  <si>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</si>
  <si>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</si>
  <si>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</si>
  <si>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</si>
  <si>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</si>
  <si>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</si>
  <si>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</si>
  <si>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</si>
  <si>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</si>
  <si>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</si>
  <si>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</si>
  <si>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</si>
  <si>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</si>
  <si>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</si>
  <si>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</si>
  <si>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</si>
  <si>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</si>
  <si>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</si>
  <si>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</si>
  <si>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</si>
  <si>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</si>
  <si>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</si>
  <si>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</si>
  <si>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</si>
  <si>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</si>
  <si>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</si>
  <si>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</si>
  <si>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</si>
  <si>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</si>
  <si>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</si>
  <si>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</si>
  <si>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</si>
  <si>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</si>
  <si>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</si>
  <si>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</si>
  <si>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</si>
  <si>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</si>
  <si>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</si>
  <si>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</si>
  <si>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</si>
  <si>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</si>
  <si>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</si>
  <si>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</si>
  <si>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</si>
  <si>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</si>
  <si>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</si>
  <si>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</si>
  <si>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</si>
  <si>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</si>
  <si>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</si>
  <si>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</si>
  <si>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</si>
  <si>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</si>
  <si>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</si>
  <si>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</si>
  <si>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</si>
  <si>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</si>
  <si>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</si>
  <si>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</si>
  <si>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</si>
  <si>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</si>
  <si>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</si>
  <si>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</si>
  <si>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</si>
  <si>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</si>
  <si>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</si>
  <si>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</si>
  <si>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</si>
  <si>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</si>
  <si>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</si>
  <si>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</si>
  <si>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</si>
  <si>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</si>
  <si>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</si>
  <si>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</si>
  <si>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</si>
  <si>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</si>
  <si>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</si>
  <si>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</si>
  <si>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</si>
  <si>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</si>
  <si>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</si>
  <si>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</si>
  <si>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</si>
  <si>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</si>
  <si>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</si>
  <si>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</si>
  <si>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</si>
  <si>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</si>
  <si>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</si>
  <si>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</si>
  <si>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</si>
  <si>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</si>
  <si>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</si>
  <si>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</si>
  <si>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</si>
  <si>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</si>
  <si>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</si>
  <si>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</si>
  <si>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</si>
  <si>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</si>
  <si>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</si>
  <si>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</si>
  <si>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</si>
  <si>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</si>
  <si>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</si>
  <si>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</si>
  <si>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</si>
  <si>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</si>
  <si>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</si>
  <si>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</si>
  <si>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</si>
  <si>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</si>
  <si>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</si>
  <si>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</si>
  <si>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</si>
  <si>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</si>
  <si>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</si>
  <si>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</si>
  <si>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</si>
  <si>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</si>
  <si>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</si>
  <si>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</si>
  <si>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</si>
  <si>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</si>
  <si>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</si>
  <si>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</si>
  <si>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</si>
  <si>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</si>
  <si>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</si>
  <si>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</si>
  <si>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</si>
  <si>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</si>
  <si>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</si>
  <si>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</si>
  <si>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</si>
  <si>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</si>
  <si>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</si>
  <si>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</si>
  <si>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</si>
  <si>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</si>
  <si>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</si>
  <si>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</si>
  <si>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</si>
  <si>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</si>
  <si>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</si>
  <si>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</si>
  <si>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</si>
  <si>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</si>
  <si>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</si>
  <si>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</si>
  <si>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</si>
  <si>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</si>
  <si>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</si>
  <si>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</si>
  <si>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</si>
  <si>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</si>
  <si>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</si>
  <si>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</si>
  <si>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</si>
  <si>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</si>
  <si>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</si>
  <si>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</si>
  <si>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</si>
  <si>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</si>
  <si>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</si>
  <si>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</si>
  <si>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</si>
  <si>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</si>
  <si>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</si>
  <si>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</si>
  <si>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</si>
  <si>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</si>
  <si>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</si>
  <si>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</si>
  <si>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</si>
  <si>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</si>
  <si>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</si>
  <si>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</si>
  <si>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</si>
  <si>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</si>
  <si>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</si>
  <si>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</si>
  <si>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</si>
  <si>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</si>
  <si>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</si>
  <si>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</si>
  <si>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</si>
  <si>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</si>
  <si>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</si>
  <si>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</si>
  <si>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</si>
  <si>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</si>
  <si>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</si>
  <si>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</si>
  <si>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</si>
  <si>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</si>
  <si>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</si>
  <si>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</si>
  <si>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</si>
  <si>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</si>
  <si>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</si>
  <si>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</si>
  <si>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</si>
  <si>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</si>
  <si>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</si>
  <si>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</si>
  <si>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</si>
  <si>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</si>
  <si>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</si>
  <si>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</si>
  <si>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</si>
  <si>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</si>
  <si>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</si>
  <si>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</si>
  <si>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</si>
  <si>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</si>
  <si>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</si>
  <si>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</si>
  <si>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</si>
  <si>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</si>
  <si>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</si>
  <si>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</si>
  <si>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</si>
  <si>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</si>
  <si>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</si>
  <si>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</si>
  <si>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</si>
  <si>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</si>
  <si>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</si>
  <si>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</si>
  <si>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</si>
  <si>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</si>
  <si>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</si>
  <si>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</si>
  <si>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</si>
  <si>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</si>
  <si>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</si>
  <si>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</si>
  <si>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</si>
  <si>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</si>
  <si>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</si>
  <si>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</si>
  <si>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</si>
  <si>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</si>
  <si>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</si>
  <si>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</si>
  <si>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</si>
  <si>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</si>
  <si>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</si>
  <si>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</si>
  <si>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</si>
  <si>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</si>
  <si>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</si>
  <si>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</si>
  <si>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</si>
  <si>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</si>
  <si>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</si>
  <si>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</si>
  <si>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</si>
  <si>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</si>
  <si>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</si>
  <si>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</si>
  <si>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</si>
  <si>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</si>
  <si>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</si>
  <si>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</si>
  <si>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</si>
  <si>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</si>
  <si>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</si>
  <si>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</si>
  <si>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</si>
  <si>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</si>
  <si>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</si>
  <si>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</si>
  <si>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</si>
  <si>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</si>
  <si>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</si>
  <si>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</si>
  <si>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</si>
  <si>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</si>
  <si>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</si>
  <si>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</si>
  <si>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</si>
  <si>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</si>
  <si>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</si>
  <si>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</si>
  <si>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</si>
  <si>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</si>
  <si>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</si>
  <si>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</si>
  <si>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</si>
  <si>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</si>
  <si>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</si>
  <si>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</si>
  <si>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</si>
  <si>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</si>
  <si>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</si>
  <si>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</si>
  <si>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</si>
  <si>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</si>
  <si>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</si>
  <si>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</si>
  <si>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</si>
  <si>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</si>
  <si>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</si>
  <si>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</si>
  <si>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</si>
  <si>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</si>
  <si>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</si>
  <si>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</si>
  <si>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</si>
  <si>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</si>
  <si>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</si>
  <si>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</si>
  <si>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</si>
  <si>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</si>
  <si>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</si>
  <si>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</si>
  <si>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</si>
  <si>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</si>
  <si>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</si>
  <si>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</si>
  <si>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</si>
  <si>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</si>
  <si>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</si>
  <si>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</si>
  <si>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</si>
  <si>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</si>
  <si>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</si>
  <si>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</si>
  <si>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</si>
  <si>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</si>
  <si>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</si>
  <si>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</si>
  <si>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</si>
  <si>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</si>
  <si>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</si>
  <si>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</si>
  <si>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</si>
  <si>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</si>
  <si>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</si>
  <si>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</si>
  <si>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</si>
  <si>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</si>
  <si>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</si>
  <si>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</si>
  <si>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</si>
  <si>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</si>
  <si>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</si>
  <si>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</si>
  <si>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</si>
  <si>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</si>
  <si>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</si>
  <si>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</si>
  <si>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</si>
  <si>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</si>
  <si>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</si>
  <si>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</si>
  <si>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</si>
  <si>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</si>
  <si>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</si>
  <si>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</si>
  <si>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</si>
  <si>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</si>
  <si>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</si>
  <si>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</si>
  <si>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</si>
  <si>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</si>
  <si>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</si>
  <si>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</si>
  <si>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</si>
  <si>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</si>
  <si>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</si>
  <si>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</si>
  <si>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</si>
  <si>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</si>
  <si>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</si>
  <si>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</si>
  <si>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</si>
  <si>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</si>
  <si>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</si>
  <si>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</si>
  <si>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</si>
  <si>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</si>
  <si>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</si>
  <si>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</si>
  <si>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</si>
  <si>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</si>
  <si>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</si>
  <si>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</si>
  <si>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</si>
  <si>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</si>
  <si>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</si>
  <si>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</si>
  <si>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</si>
  <si>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</si>
  <si>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</si>
  <si>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</si>
  <si>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</si>
  <si>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</si>
  <si>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</si>
  <si>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</si>
  <si>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</si>
  <si>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</si>
  <si>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</si>
  <si>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</si>
  <si>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</si>
  <si>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</si>
  <si>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</si>
  <si>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</si>
  <si>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</si>
  <si>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</si>
  <si>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</si>
  <si>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</si>
  <si>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</si>
  <si>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</si>
  <si>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</si>
  <si>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</si>
  <si>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</si>
  <si>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</si>
  <si>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</si>
  <si>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</si>
  <si>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</si>
  <si>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</si>
  <si>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</si>
  <si>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</si>
  <si>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</si>
  <si>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</si>
  <si>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</si>
  <si>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</si>
  <si>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</si>
  <si>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</si>
  <si>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</si>
  <si>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</si>
  <si>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</si>
  <si>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</si>
  <si>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</si>
  <si>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</si>
  <si>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</si>
  <si>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</si>
  <si>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</si>
  <si>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</si>
  <si>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</si>
  <si>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</si>
  <si>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</si>
  <si>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</si>
  <si>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</si>
  <si>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</si>
  <si>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</si>
  <si>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</si>
  <si>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</si>
  <si>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</si>
  <si>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</si>
  <si>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</si>
  <si>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</si>
  <si>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</si>
  <si>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</si>
  <si>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</si>
  <si>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</si>
  <si>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</si>
  <si>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</si>
  <si>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</si>
  <si>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</si>
  <si>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</si>
  <si>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</si>
  <si>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</si>
  <si>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</si>
  <si>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</si>
  <si>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</si>
  <si>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</si>
  <si>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</si>
  <si>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</si>
  <si>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</si>
  <si>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</si>
  <si>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</si>
  <si>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</si>
  <si>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</si>
  <si>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</si>
  <si>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</si>
  <si>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</si>
  <si>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</si>
  <si>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</si>
  <si>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</si>
  <si>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</si>
  <si>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</si>
  <si>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</si>
  <si>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</si>
  <si>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</si>
  <si>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</si>
  <si>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</si>
  <si>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</si>
  <si>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</si>
  <si>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</si>
  <si>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</si>
  <si>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</si>
  <si>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</si>
  <si>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</si>
  <si>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</si>
  <si>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</si>
  <si>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</si>
  <si>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</si>
  <si>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</si>
  <si>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</si>
  <si>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</si>
  <si>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</si>
  <si>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</si>
  <si>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</si>
  <si>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</si>
  <si>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</si>
  <si>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</si>
  <si>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</si>
  <si>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</si>
  <si>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</si>
  <si>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</si>
  <si>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</si>
  <si>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</si>
  <si>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</si>
  <si>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</si>
  <si>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</si>
  <si>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</si>
  <si>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</si>
  <si>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</si>
  <si>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</si>
  <si>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</si>
  <si>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</si>
  <si>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</si>
  <si>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</si>
  <si>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</si>
  <si>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</si>
  <si>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</si>
  <si>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</si>
  <si>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</si>
  <si>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</si>
  <si>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</si>
  <si>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</si>
  <si>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</si>
  <si>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</si>
  <si>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</si>
  <si>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</si>
  <si>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</si>
  <si>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</si>
  <si>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</si>
  <si>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</si>
  <si>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</si>
  <si>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</si>
  <si>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</si>
  <si>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</si>
  <si>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</si>
  <si>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</si>
  <si>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</si>
  <si>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</si>
  <si>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</si>
  <si>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</si>
  <si>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</si>
  <si>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</si>
  <si>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</si>
  <si>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</si>
  <si>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</si>
  <si>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</si>
  <si>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</si>
  <si>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</si>
  <si>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</si>
  <si>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</si>
  <si>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</si>
  <si>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</si>
  <si>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</si>
  <si>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</si>
  <si>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</si>
  <si>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</si>
  <si>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</si>
  <si>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</si>
  <si>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</si>
  <si>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</si>
  <si>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</si>
  <si>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</si>
  <si>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</si>
  <si>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</si>
  <si>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</si>
  <si>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</si>
  <si>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</si>
  <si>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</si>
  <si>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</si>
  <si>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</si>
  <si>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</si>
  <si>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</si>
  <si>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</si>
  <si>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</si>
  <si>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</si>
  <si>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</si>
  <si>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</si>
  <si>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</si>
  <si>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</si>
  <si>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</si>
  <si>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</si>
  <si>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</si>
  <si>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</si>
  <si>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</si>
  <si>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</si>
  <si>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</si>
  <si>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</si>
  <si>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</si>
  <si>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</si>
  <si>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</si>
  <si>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</si>
  <si>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</si>
  <si>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</si>
  <si>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</si>
  <si>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</si>
  <si>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</si>
  <si>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</si>
  <si>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</si>
  <si>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</si>
  <si>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</si>
  <si>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</si>
  <si>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</si>
  <si>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</si>
  <si>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</si>
  <si>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</si>
  <si>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</si>
  <si>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</si>
  <si>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</si>
  <si>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</si>
  <si>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</si>
  <si>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</si>
  <si>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</si>
  <si>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</si>
  <si>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</si>
  <si>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</si>
  <si>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</si>
  <si>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</si>
  <si>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</si>
  <si>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</si>
  <si>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</si>
  <si>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</si>
  <si>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</si>
  <si>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</si>
  <si>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</si>
  <si>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</si>
  <si>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</si>
  <si>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</si>
  <si>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</si>
  <si>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</si>
  <si>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</si>
  <si>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</si>
  <si>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</si>
  <si>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</si>
  <si>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</si>
  <si>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</si>
  <si>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</si>
  <si>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</si>
  <si>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</si>
  <si>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</si>
  <si>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</si>
  <si>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</si>
  <si>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</si>
  <si>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</si>
  <si>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</si>
  <si>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</si>
  <si>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</si>
  <si>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</si>
  <si>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</si>
  <si>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</si>
  <si>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</si>
  <si>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</si>
  <si>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</si>
  <si>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</si>
  <si>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</si>
  <si>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</si>
  <si>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</si>
  <si>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</si>
  <si>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</si>
  <si>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</si>
  <si>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</si>
  <si>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</si>
  <si>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</si>
  <si>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</si>
  <si>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</si>
  <si>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</si>
  <si>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</si>
  <si>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</si>
  <si>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</si>
  <si>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</si>
  <si>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</si>
  <si>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</si>
  <si>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</si>
  <si>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</si>
  <si>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</si>
  <si>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</si>
  <si>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</si>
  <si>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</si>
  <si>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</si>
  <si>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</si>
  <si>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</si>
  <si>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</si>
  <si>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</si>
  <si>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</si>
  <si>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</si>
  <si>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</si>
  <si>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</si>
  <si>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</si>
  <si>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</si>
  <si>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</si>
  <si>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</si>
  <si>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</si>
  <si>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</si>
  <si>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</si>
  <si>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</si>
  <si>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</si>
  <si>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</si>
  <si>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</si>
  <si>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</si>
  <si>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</si>
  <si>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</si>
  <si>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</si>
  <si>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</si>
  <si>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</si>
  <si>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</si>
  <si>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</si>
  <si>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</si>
  <si>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</si>
  <si>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</si>
  <si>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</si>
  <si>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</si>
  <si>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</si>
  <si>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</si>
  <si>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</si>
  <si>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</si>
  <si>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</si>
  <si>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</si>
  <si>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</si>
  <si>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</si>
  <si>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</si>
  <si>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</si>
  <si>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</si>
  <si>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</si>
  <si>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</si>
  <si>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</si>
  <si>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</si>
  <si>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</si>
  <si>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</si>
  <si>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</si>
  <si>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</si>
  <si>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</si>
  <si>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</si>
  <si>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</si>
  <si>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</si>
  <si>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</si>
  <si>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</si>
  <si>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</si>
  <si>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</si>
  <si>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</si>
  <si>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</si>
  <si>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</si>
  <si>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</si>
  <si>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</si>
  <si>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</si>
  <si>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</si>
  <si>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</si>
  <si>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</si>
  <si>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</si>
  <si>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</si>
  <si>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</si>
  <si>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</si>
  <si>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</si>
  <si>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</si>
  <si>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</si>
  <si>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</si>
  <si>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</si>
  <si>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</si>
  <si>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</si>
  <si>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</si>
  <si>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</si>
  <si>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</si>
  <si>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</si>
  <si>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</si>
  <si>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</si>
  <si>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</si>
  <si>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</si>
  <si>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</si>
  <si>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</si>
  <si>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</si>
  <si>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</si>
  <si>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</si>
  <si>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</si>
  <si>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</si>
  <si>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</si>
  <si>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</si>
  <si>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</si>
  <si>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</si>
  <si>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</si>
  <si>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</si>
  <si>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</si>
  <si>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</si>
  <si>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</si>
  <si>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</si>
  <si>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</si>
  <si>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</si>
  <si>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</si>
  <si>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</si>
  <si>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</si>
  <si>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</si>
  <si>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</si>
  <si>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</si>
  <si>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</si>
  <si>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</si>
  <si>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</si>
  <si>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</si>
  <si>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</si>
  <si>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</si>
  <si>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</si>
  <si>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</si>
  <si>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</si>
  <si>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</si>
  <si>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</si>
  <si>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</si>
  <si>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</si>
  <si>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</si>
  <si>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</si>
  <si>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</si>
  <si>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</si>
  <si>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</si>
  <si>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</si>
  <si>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</si>
  <si>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</si>
  <si>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</si>
  <si>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</si>
  <si>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</si>
  <si>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</si>
  <si>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</si>
  <si>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</si>
  <si>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</si>
  <si>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</si>
  <si>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</si>
  <si>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</si>
  <si>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</si>
  <si>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</si>
  <si>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</si>
  <si>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</si>
  <si>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</si>
  <si>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</si>
  <si>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</si>
  <si>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</si>
  <si>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</si>
  <si>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</si>
  <si>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</si>
  <si>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</si>
  <si>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</si>
  <si>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</si>
  <si>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</si>
  <si>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</si>
  <si>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</si>
  <si>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</si>
  <si>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</si>
  <si>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</si>
  <si>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</si>
  <si>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</si>
  <si>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</si>
  <si>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</si>
  <si>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</si>
  <si>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</si>
  <si>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</si>
  <si>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</si>
  <si>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</si>
  <si>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</si>
  <si>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</si>
  <si>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</si>
  <si>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</si>
  <si>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</si>
  <si>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</si>
  <si>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</si>
  <si>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</si>
  <si>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</si>
  <si>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</si>
  <si>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</si>
  <si>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</si>
  <si>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</si>
  <si>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</si>
  <si>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</si>
  <si>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</si>
  <si>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</si>
  <si>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</si>
  <si>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</si>
  <si>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</si>
  <si>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</si>
  <si>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</si>
  <si>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</si>
  <si>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</si>
  <si>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</si>
  <si>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</si>
  <si>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</si>
  <si>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</si>
  <si>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</si>
  <si>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</si>
  <si>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</si>
  <si>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</si>
  <si>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</si>
  <si>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</si>
  <si>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</si>
  <si>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</si>
  <si>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</si>
  <si>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</si>
  <si>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</si>
  <si>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</si>
  <si>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</si>
  <si>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</si>
  <si>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</si>
  <si>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</si>
  <si>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</si>
  <si>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</si>
  <si>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</si>
  <si>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</si>
  <si>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</si>
  <si>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</si>
  <si>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</si>
  <si>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</si>
  <si>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</si>
  <si>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</si>
  <si>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</si>
  <si>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</si>
  <si>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</si>
  <si>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</si>
  <si>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</si>
  <si>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</si>
  <si>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</si>
  <si>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</si>
  <si>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</si>
  <si>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</si>
  <si>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</si>
  <si>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</si>
  <si>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</si>
  <si>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</si>
  <si>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</si>
  <si>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</si>
  <si>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</si>
  <si>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</si>
  <si>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</si>
  <si>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</si>
  <si>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</si>
  <si>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</si>
  <si>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</si>
  <si>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</si>
  <si>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</si>
  <si>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</si>
  <si>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</si>
  <si>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</si>
  <si>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</si>
  <si>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</si>
  <si>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</si>
  <si>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</si>
  <si>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</si>
  <si>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</si>
  <si>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</si>
  <si>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</si>
  <si>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</si>
  <si>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</si>
  <si>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</si>
  <si>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</si>
  <si>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</si>
  <si>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</si>
  <si>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</si>
  <si>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</si>
  <si>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</si>
  <si>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</si>
  <si>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</si>
  <si>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</si>
  <si>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</si>
  <si>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</si>
  <si>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</si>
  <si>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</si>
  <si>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</si>
  <si>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</si>
  <si>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</si>
  <si>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</si>
  <si>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</si>
  <si>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</si>
  <si>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</si>
  <si>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</si>
  <si>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</si>
  <si>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</si>
  <si>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</si>
  <si>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</si>
  <si>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</si>
  <si>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</si>
  <si>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</si>
  <si>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</si>
  <si>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</si>
  <si>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</si>
  <si>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</si>
  <si>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</si>
  <si>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</si>
  <si>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</si>
  <si>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</si>
  <si>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</si>
  <si>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</si>
  <si>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</si>
  <si>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</si>
  <si>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</si>
  <si>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</si>
  <si>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</si>
  <si>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</si>
  <si>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</si>
  <si>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</si>
  <si>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</si>
  <si>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</si>
  <si>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</si>
  <si>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</si>
  <si>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</si>
  <si>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</si>
  <si>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</si>
  <si>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</si>
  <si>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</si>
  <si>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</si>
  <si>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</si>
  <si>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</si>
  <si>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</si>
  <si>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</si>
  <si>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</si>
  <si>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</si>
  <si>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</si>
  <si>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</si>
  <si>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</si>
  <si>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</si>
  <si>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</si>
  <si>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</si>
  <si>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</si>
  <si>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</si>
  <si>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</si>
  <si>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</si>
  <si>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</si>
  <si>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</si>
  <si>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</si>
  <si>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</si>
  <si>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</si>
  <si>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</si>
  <si>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</si>
  <si>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</si>
  <si>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</si>
  <si>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</si>
  <si>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</si>
  <si>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</si>
  <si>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</si>
  <si>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</si>
  <si>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</si>
  <si>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</si>
  <si>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</si>
  <si>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</si>
  <si>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</si>
  <si>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</si>
  <si>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</si>
  <si>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</si>
  <si>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</si>
  <si>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</si>
  <si>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</si>
  <si>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</si>
  <si>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</si>
  <si>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</si>
  <si>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</si>
  <si>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</si>
  <si>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</si>
  <si>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</si>
  <si>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</si>
  <si>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</si>
  <si>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</si>
  <si>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</si>
  <si>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</si>
  <si>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</si>
  <si>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</si>
  <si>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</si>
  <si>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</si>
  <si>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</si>
  <si>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</si>
  <si>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</si>
  <si>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</si>
  <si>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</si>
  <si>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</si>
  <si>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</si>
  <si>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</si>
  <si>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</si>
  <si>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</si>
  <si>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</si>
  <si>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</si>
  <si>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</si>
  <si>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</si>
  <si>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</si>
  <si>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</si>
  <si>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</si>
  <si>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</si>
  <si>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</si>
  <si>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</si>
  <si>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</si>
  <si>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</si>
  <si>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</si>
  <si>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</si>
  <si>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</si>
  <si>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</si>
  <si>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</si>
  <si>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</si>
  <si>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</si>
  <si>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</si>
  <si>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</si>
  <si>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</si>
  <si>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</si>
  <si>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</si>
  <si>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</si>
  <si>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</si>
  <si>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</si>
  <si>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</si>
  <si>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</si>
  <si>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</si>
  <si>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</si>
  <si>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</si>
  <si>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</si>
  <si>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</si>
  <si>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</si>
  <si>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</si>
  <si>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</si>
  <si>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</si>
  <si>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</si>
  <si>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</si>
  <si>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</si>
  <si>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</si>
  <si>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</si>
  <si>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</si>
  <si>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</si>
  <si>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</si>
  <si>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</si>
  <si>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</si>
  <si>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</si>
  <si>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</si>
  <si>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</si>
  <si>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</si>
  <si>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</si>
  <si>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</si>
  <si>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</si>
  <si>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</si>
  <si>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</si>
  <si>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</si>
  <si>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</si>
  <si>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</si>
  <si>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</si>
  <si>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</si>
  <si>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</si>
  <si>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</si>
  <si>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</si>
  <si>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</si>
  <si>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</si>
  <si>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</si>
  <si>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</si>
  <si>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</si>
  <si>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</si>
  <si>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</si>
  <si>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</si>
  <si>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</si>
  <si>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</si>
  <si>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</si>
  <si>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</si>
  <si>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</si>
  <si>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</si>
  <si>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</si>
  <si>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</si>
  <si>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</si>
  <si>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</si>
  <si>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</si>
  <si>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</si>
  <si>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</si>
  <si>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</si>
  <si>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</si>
  <si>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</si>
  <si>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</si>
  <si>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</si>
  <si>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</si>
  <si>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</si>
  <si>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</si>
  <si>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</si>
  <si>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</si>
  <si>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</si>
  <si>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</si>
  <si>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</si>
  <si>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</si>
  <si>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</si>
  <si>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</si>
  <si>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</si>
  <si>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</si>
  <si>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</si>
  <si>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</si>
  <si>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</si>
  <si>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</si>
  <si>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</si>
  <si>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</si>
  <si>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</si>
  <si>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</si>
  <si>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</si>
  <si>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</si>
  <si>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</si>
  <si>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</si>
  <si>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</si>
  <si>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</si>
  <si>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</si>
  <si>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</si>
  <si>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</si>
  <si>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</si>
  <si>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</si>
  <si>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</si>
  <si>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</si>
  <si>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</si>
  <si>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</si>
  <si>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</si>
  <si>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</si>
  <si>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</si>
  <si>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</si>
  <si>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</si>
  <si>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</si>
  <si>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</si>
  <si>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</si>
  <si>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</si>
  <si>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</si>
  <si>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</si>
  <si>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</si>
  <si>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</si>
  <si>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</si>
  <si>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</si>
  <si>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</si>
  <si>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</si>
  <si>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</si>
  <si>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</si>
  <si>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</si>
  <si>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</si>
  <si>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</si>
  <si>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</si>
  <si>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</si>
  <si>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</si>
  <si>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</si>
  <si>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</si>
  <si>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</si>
  <si>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</si>
  <si>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</si>
  <si>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</si>
  <si>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</si>
  <si>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</si>
  <si>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</si>
  <si>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</si>
  <si>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</si>
  <si>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</si>
  <si>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</si>
  <si>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</si>
  <si>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</si>
  <si>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</si>
  <si>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</si>
  <si>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</si>
  <si>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</si>
  <si>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</si>
  <si>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</si>
  <si>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</si>
  <si>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</si>
  <si>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</si>
  <si>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</si>
  <si>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</si>
  <si>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</si>
  <si>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</si>
  <si>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</si>
  <si>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</si>
  <si>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</si>
  <si>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</si>
  <si>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</si>
  <si>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</si>
  <si>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</si>
  <si>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</si>
  <si>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</si>
  <si>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</si>
  <si>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</si>
  <si>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</si>
  <si>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</si>
  <si>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</si>
  <si>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</si>
  <si>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</si>
  <si>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</si>
  <si>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</si>
  <si>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</si>
  <si>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</si>
  <si>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</si>
  <si>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</si>
  <si>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</si>
  <si>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</si>
  <si>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</si>
  <si>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</si>
  <si>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</si>
  <si>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</si>
  <si>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</si>
  <si>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</si>
  <si>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</si>
  <si>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</si>
  <si>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</si>
  <si>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</si>
  <si>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</si>
  <si>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</si>
  <si>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</si>
  <si>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</si>
  <si>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</si>
  <si>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</si>
  <si>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</si>
  <si>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</si>
  <si>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</si>
  <si>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</si>
  <si>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</si>
  <si>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</si>
  <si>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</si>
  <si>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</si>
  <si>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</si>
  <si>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</si>
  <si>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</si>
  <si>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</si>
  <si>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</si>
  <si>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</si>
  <si>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</si>
  <si>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</si>
  <si>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</si>
  <si>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</si>
  <si>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</si>
  <si>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</si>
  <si>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</si>
  <si>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</si>
  <si>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</si>
  <si>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</si>
  <si>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</si>
  <si>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</si>
  <si>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</si>
  <si>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</si>
  <si>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</si>
  <si>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</si>
  <si>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</si>
  <si>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</si>
  <si>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</si>
  <si>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</si>
  <si>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</si>
  <si>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</si>
  <si>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</si>
  <si>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</si>
  <si>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</si>
  <si>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</si>
  <si>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</si>
  <si>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</si>
  <si>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</si>
  <si>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</si>
  <si>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</si>
  <si>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</si>
  <si>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</si>
  <si>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</si>
  <si>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</si>
  <si>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</si>
  <si>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</si>
  <si>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</si>
  <si>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</si>
  <si>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</si>
  <si>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</si>
  <si>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</si>
  <si>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</si>
  <si>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</si>
  <si>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</si>
  <si>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</si>
  <si>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</si>
  <si>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</si>
  <si>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</si>
  <si>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</si>
  <si>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</si>
  <si>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</si>
  <si>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</si>
  <si>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</si>
  <si>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</si>
  <si>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</si>
  <si>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</si>
  <si>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</si>
  <si>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</si>
  <si>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</si>
  <si>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</si>
  <si>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</si>
  <si>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</si>
  <si>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</si>
  <si>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</si>
  <si>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</si>
  <si>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</si>
  <si>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</si>
  <si>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</si>
  <si>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</si>
  <si>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</si>
  <si>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</si>
  <si>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</si>
  <si>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</si>
  <si>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</si>
  <si>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</si>
  <si>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</si>
  <si>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</si>
  <si>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</si>
  <si>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</si>
  <si>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</si>
  <si>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</si>
  <si>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</si>
  <si>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</si>
  <si>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</si>
  <si>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</si>
  <si>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</si>
  <si>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</si>
  <si>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</si>
  <si>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</si>
  <si>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</si>
  <si>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</si>
  <si>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</si>
  <si>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</si>
  <si>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</si>
  <si>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</si>
  <si>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</si>
  <si>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</si>
  <si>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</si>
  <si>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</si>
  <si>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</si>
  <si>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</si>
  <si>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</si>
  <si>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</si>
  <si>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</si>
  <si>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</si>
  <si>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</si>
  <si>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</si>
  <si>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</si>
  <si>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</si>
  <si>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</si>
  <si>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</si>
  <si>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</si>
  <si>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</si>
  <si>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</si>
  <si>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</si>
  <si>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</si>
  <si>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</si>
  <si>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</si>
  <si>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</si>
  <si>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</si>
  <si>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</si>
  <si>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</si>
  <si>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</si>
  <si>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</si>
  <si>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</si>
  <si>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</si>
  <si>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</si>
  <si>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</si>
  <si>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</si>
  <si>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</si>
  <si>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</si>
  <si>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</si>
  <si>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</si>
  <si>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</si>
  <si>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</si>
  <si>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</si>
  <si>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</si>
  <si>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</si>
  <si>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</si>
  <si>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</si>
  <si>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</si>
  <si>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</si>
  <si>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</si>
  <si>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</si>
  <si>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</si>
  <si>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</si>
  <si>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</si>
  <si>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</si>
  <si>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</si>
  <si>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</si>
  <si>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</si>
  <si>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</si>
  <si>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</si>
  <si>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</si>
  <si>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</si>
  <si>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</si>
  <si>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</si>
  <si>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</si>
  <si>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</si>
  <si>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</si>
  <si>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</si>
  <si>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</si>
  <si>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</si>
  <si>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</si>
  <si>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</si>
  <si>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</si>
  <si>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</si>
  <si>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</si>
  <si>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</si>
  <si>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</si>
  <si>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</si>
  <si>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</si>
  <si>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</si>
  <si>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</si>
  <si>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</si>
  <si>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</si>
  <si>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</si>
  <si>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</si>
  <si>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</si>
  <si>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</si>
  <si>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</si>
  <si>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</si>
  <si>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</si>
  <si>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</si>
  <si>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</si>
  <si>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</si>
  <si>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</si>
  <si>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</si>
  <si>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</si>
  <si>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</si>
  <si>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</si>
  <si>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</si>
  <si>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</si>
  <si>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</si>
  <si>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</si>
  <si>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</si>
  <si>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</si>
  <si>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</si>
  <si>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</si>
  <si>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</si>
  <si>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</si>
  <si>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</si>
  <si>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</si>
  <si>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</si>
  <si>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</si>
  <si>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</si>
  <si>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</si>
  <si>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</si>
  <si>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</si>
  <si>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</si>
  <si>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</si>
  <si>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</si>
  <si>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</si>
  <si>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</si>
  <si>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</si>
  <si>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</si>
  <si>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</si>
  <si>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</si>
  <si>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</si>
  <si>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</si>
  <si>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</si>
  <si>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</si>
  <si>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</si>
  <si>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</si>
  <si>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</si>
  <si>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</si>
  <si>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</si>
  <si>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</si>
  <si>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</si>
  <si>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</si>
  <si>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</si>
  <si>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</si>
  <si>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</si>
  <si>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</si>
  <si>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</si>
  <si>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</si>
  <si>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</si>
  <si>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</si>
  <si>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</si>
  <si>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</si>
  <si>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</si>
  <si>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</si>
  <si>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</si>
  <si>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</si>
  <si>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</si>
  <si>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</si>
  <si>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</si>
  <si>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</si>
  <si>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</si>
  <si>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</si>
  <si>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</si>
  <si>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</si>
  <si>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</si>
  <si>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</si>
  <si>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</si>
  <si>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</si>
  <si>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</si>
  <si>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</si>
  <si>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</si>
  <si>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</si>
  <si>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</si>
  <si>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</si>
  <si>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</si>
  <si>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</si>
  <si>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</si>
  <si>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</si>
  <si>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</si>
  <si>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</si>
  <si>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</si>
  <si>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</si>
  <si>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</si>
  <si>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</si>
  <si>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</si>
  <si>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</si>
  <si>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</si>
  <si>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</si>
  <si>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</si>
  <si>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</si>
  <si>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</si>
  <si>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</si>
  <si>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</si>
  <si>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</si>
  <si>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</si>
  <si>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</si>
  <si>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</si>
  <si>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</si>
  <si>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</si>
  <si>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</si>
  <si>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</si>
  <si>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</si>
  <si>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</si>
  <si>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</si>
  <si>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</si>
  <si>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</si>
  <si>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</si>
  <si>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</si>
  <si>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</si>
  <si>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</si>
  <si>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</si>
  <si>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</si>
  <si>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</si>
  <si>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</si>
  <si>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</si>
  <si>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</si>
  <si>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</si>
  <si>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</si>
  <si>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</si>
  <si>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</si>
  <si>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</si>
  <si>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</si>
  <si>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</si>
  <si>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</si>
  <si>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</si>
  <si>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</si>
  <si>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</si>
  <si>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</si>
  <si>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</si>
  <si>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</si>
  <si>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</si>
  <si>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</si>
  <si>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</si>
  <si>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</si>
  <si>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</si>
  <si>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</si>
  <si>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</si>
  <si>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</si>
  <si>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</si>
  <si>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</si>
  <si>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</si>
  <si>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</si>
  <si>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</si>
  <si>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</si>
  <si>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</si>
  <si>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</si>
  <si>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</si>
  <si>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</si>
  <si>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</si>
  <si>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</si>
  <si>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</si>
  <si>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</si>
  <si>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</si>
  <si>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</si>
  <si>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</si>
  <si>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</si>
  <si>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</si>
  <si>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</si>
  <si>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</si>
  <si>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</si>
  <si>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</si>
  <si>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</si>
  <si>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</si>
  <si>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</si>
  <si>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</si>
  <si>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</si>
  <si>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</si>
  <si>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</si>
  <si>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</si>
  <si>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</si>
  <si>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</si>
  <si>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</si>
  <si>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</si>
  <si>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</si>
  <si>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</si>
  <si>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</si>
  <si>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</si>
  <si>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</si>
  <si>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</si>
  <si>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</si>
  <si>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</si>
  <si>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</si>
  <si>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</si>
  <si>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</si>
  <si>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</si>
  <si>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</si>
  <si>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</si>
  <si>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</si>
  <si>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</si>
  <si>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</si>
  <si>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</si>
  <si>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</si>
  <si>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</si>
  <si>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</si>
  <si>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</si>
  <si>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</si>
  <si>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</si>
  <si>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</si>
  <si>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</si>
  <si>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</si>
  <si>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</si>
  <si>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</si>
  <si>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</si>
  <si>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</si>
  <si>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</si>
  <si>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</si>
  <si>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</si>
  <si>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</si>
  <si>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</si>
  <si>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</si>
  <si>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</si>
  <si>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</si>
  <si>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</si>
  <si>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</si>
  <si>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</si>
  <si>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</si>
  <si>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</si>
  <si>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</si>
  <si>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</si>
  <si>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</si>
  <si>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</si>
  <si>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</si>
  <si>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</si>
  <si>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</si>
  <si>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</si>
  <si>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</si>
  <si>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</si>
  <si>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</si>
  <si>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</si>
  <si>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</si>
  <si>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</si>
  <si>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</si>
  <si>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</si>
  <si>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</si>
  <si>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</si>
  <si>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</si>
  <si>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</si>
  <si>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</si>
  <si>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</si>
  <si>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</si>
  <si>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</si>
  <si>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</si>
  <si>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</si>
  <si>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</si>
  <si>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</si>
  <si>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</si>
  <si>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</si>
  <si>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</si>
  <si>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</si>
  <si>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</si>
  <si>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</si>
  <si>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</si>
  <si>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</si>
  <si>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</si>
  <si>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</si>
  <si>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</si>
  <si>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</si>
  <si>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</si>
  <si>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</si>
  <si>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</si>
  <si>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</si>
  <si>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</si>
  <si>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</si>
  <si>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</si>
  <si>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</si>
  <si>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</si>
  <si>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</si>
  <si>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</si>
  <si>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</si>
  <si>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</si>
  <si>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</si>
  <si>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</si>
  <si>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</si>
  <si>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</si>
  <si>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</si>
  <si>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</si>
  <si>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</si>
  <si>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</si>
  <si>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</si>
  <si>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</si>
  <si>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</si>
  <si>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</si>
  <si>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</si>
  <si>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</si>
  <si>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</si>
  <si>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</si>
  <si>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</si>
  <si>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</si>
  <si>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</si>
  <si>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</si>
  <si>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</si>
  <si>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</si>
  <si>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</si>
  <si>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</si>
  <si>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</si>
  <si>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</si>
  <si>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</si>
  <si>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</si>
  <si>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</si>
  <si>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</si>
  <si>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</si>
  <si>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</si>
  <si>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</si>
  <si>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</si>
  <si>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</si>
  <si>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</si>
  <si>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</si>
  <si>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</si>
  <si>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</si>
  <si>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</si>
  <si>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</si>
  <si>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</si>
  <si>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</si>
  <si>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</si>
  <si>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</si>
  <si>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</si>
  <si>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</si>
  <si>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</si>
  <si>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</si>
  <si>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</si>
  <si>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</si>
  <si>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</si>
  <si>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</si>
  <si>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</si>
  <si>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</si>
  <si>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</si>
  <si>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</si>
  <si>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</si>
  <si>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</si>
  <si>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</si>
  <si>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</si>
  <si>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</si>
  <si>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</si>
  <si>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</si>
  <si>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</si>
  <si>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</si>
  <si>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</si>
  <si>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</si>
  <si>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</si>
  <si>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</si>
  <si>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</si>
  <si>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</si>
  <si>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</si>
  <si>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</si>
  <si>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</si>
  <si>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</si>
  <si>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</si>
  <si>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</si>
  <si>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</si>
  <si>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</si>
  <si>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</si>
  <si>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</si>
  <si>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</si>
  <si>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</si>
  <si>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</si>
  <si>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</si>
  <si>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</si>
  <si>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</si>
  <si>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</si>
  <si>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</si>
  <si>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</si>
  <si>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</si>
  <si>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</si>
  <si>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</si>
  <si>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</si>
  <si>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</si>
  <si>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</si>
  <si>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</si>
  <si>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</si>
  <si>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</si>
  <si>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</si>
  <si>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</si>
  <si>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</si>
  <si>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</si>
  <si>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</si>
  <si>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</si>
  <si>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</si>
  <si>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</si>
  <si>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</si>
  <si>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</si>
  <si>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</si>
  <si>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</si>
  <si>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</si>
  <si>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</si>
  <si>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</si>
  <si>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</si>
  <si>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</si>
  <si>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</si>
  <si>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</si>
  <si>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</si>
  <si>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</si>
  <si>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</si>
  <si>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</si>
  <si>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</si>
  <si>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</si>
  <si>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</si>
  <si>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</si>
  <si>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</si>
  <si>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</si>
  <si>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</si>
  <si>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</si>
  <si>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</si>
  <si>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</si>
  <si>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</si>
  <si>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</si>
  <si>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</si>
  <si>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</si>
  <si>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</si>
  <si>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</si>
  <si>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</si>
  <si>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</si>
  <si>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</si>
  <si>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</si>
  <si>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</si>
  <si>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</si>
  <si>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</si>
  <si>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</si>
  <si>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</si>
  <si>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</si>
  <si>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</si>
  <si>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</si>
  <si>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</si>
  <si>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</si>
  <si>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</si>
  <si>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</si>
  <si>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</si>
  <si>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</si>
  <si>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</si>
  <si>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</si>
  <si>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</si>
  <si>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</si>
  <si>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</si>
  <si>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</si>
  <si>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</si>
  <si>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</si>
  <si>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</si>
  <si>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</si>
  <si>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</si>
  <si>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</si>
  <si>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</si>
  <si>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</si>
  <si>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</si>
  <si>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</si>
  <si>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</si>
  <si>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</si>
  <si>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</si>
  <si>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</si>
  <si>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</si>
  <si>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</si>
  <si>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</si>
  <si>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</si>
  <si>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</si>
  <si>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</si>
  <si>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</si>
  <si>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</si>
  <si>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</si>
  <si>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</si>
  <si>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</si>
  <si>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</si>
  <si>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</si>
  <si>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</si>
  <si>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</si>
  <si>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</si>
  <si>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</si>
  <si>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</si>
  <si>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</si>
  <si>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</si>
  <si>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</si>
  <si>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</si>
  <si>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</si>
  <si>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</si>
  <si>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</si>
  <si>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</si>
  <si>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</si>
  <si>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</si>
  <si>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</si>
  <si>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</si>
  <si>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</si>
  <si>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</si>
  <si>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</si>
  <si>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</si>
  <si>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</si>
  <si>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</si>
  <si>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</si>
  <si>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</si>
  <si>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</si>
  <si>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</si>
  <si>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</si>
  <si>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</si>
  <si>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</si>
  <si>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</si>
  <si>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</si>
  <si>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</si>
  <si>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</si>
  <si>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</si>
  <si>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</si>
  <si>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</si>
  <si>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</si>
  <si>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</si>
  <si>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</si>
  <si>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</si>
  <si>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</si>
  <si>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</si>
  <si>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</si>
  <si>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</si>
  <si>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</si>
  <si>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</si>
  <si>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</si>
  <si>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</si>
  <si>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</si>
  <si>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</si>
  <si>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</si>
  <si>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</si>
  <si>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</si>
  <si>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</si>
  <si>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</si>
  <si>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</si>
  <si>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</si>
  <si>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</si>
  <si>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</si>
  <si>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</si>
  <si>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</si>
  <si>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</si>
  <si>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</si>
  <si>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</si>
  <si>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</si>
  <si>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</si>
  <si>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</si>
  <si>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</si>
  <si>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</si>
  <si>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</si>
  <si>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</si>
  <si>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</si>
  <si>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</si>
  <si>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</si>
  <si>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</si>
  <si>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</si>
  <si>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</si>
  <si>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</si>
  <si>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</si>
  <si>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</si>
  <si>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</si>
  <si>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</si>
  <si>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</si>
  <si>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</si>
  <si>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</si>
  <si>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</si>
  <si>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</si>
  <si>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</si>
  <si>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</si>
  <si>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</si>
  <si>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</si>
  <si>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</si>
  <si>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</si>
  <si>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</si>
  <si>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</si>
  <si>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</si>
  <si>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</si>
  <si>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</si>
  <si>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</si>
  <si>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</si>
  <si>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</si>
  <si>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</si>
  <si>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</si>
  <si>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</si>
  <si>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</si>
  <si>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</si>
  <si>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</si>
  <si>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</si>
  <si>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</si>
  <si>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</si>
  <si>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</si>
  <si>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</si>
  <si>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</si>
  <si>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</si>
  <si>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</si>
  <si>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</si>
  <si>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</si>
  <si>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</si>
  <si>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</si>
  <si>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</si>
  <si>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</si>
  <si>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</si>
  <si>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</si>
  <si>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</si>
  <si>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</si>
  <si>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</si>
  <si>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</si>
  <si>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</si>
  <si>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</si>
  <si>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</si>
  <si>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</si>
  <si>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</si>
  <si>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</si>
  <si>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</si>
  <si>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</si>
  <si>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</si>
  <si>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</si>
  <si>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</si>
  <si>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</si>
  <si>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</si>
  <si>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</si>
  <si>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</si>
  <si>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</si>
  <si>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</si>
  <si>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</si>
  <si>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</si>
  <si>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</si>
  <si>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</si>
  <si>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</si>
  <si>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</si>
  <si>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</si>
  <si>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</si>
  <si>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</si>
  <si>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</si>
  <si>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</si>
  <si>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</si>
  <si>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</si>
  <si>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</si>
  <si>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</si>
  <si>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</si>
  <si>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</si>
  <si>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</si>
  <si>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</si>
  <si>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</si>
  <si>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</si>
  <si>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</si>
  <si>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</si>
  <si>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</si>
  <si>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</si>
  <si>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</si>
  <si>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</si>
  <si>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</si>
  <si>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</si>
  <si>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</si>
  <si>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</si>
  <si>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</si>
  <si>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</si>
  <si>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</si>
  <si>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</si>
  <si>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</si>
  <si>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</si>
  <si>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</si>
  <si>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</si>
  <si>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</si>
  <si>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</si>
  <si>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</si>
  <si>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</si>
  <si>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</si>
  <si>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</si>
  <si>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</si>
  <si>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</si>
  <si>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</si>
  <si>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</si>
  <si>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</si>
  <si>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</si>
  <si>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</si>
  <si>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</si>
  <si>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</si>
  <si>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</si>
  <si>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</si>
  <si>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</si>
  <si>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</si>
  <si>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</si>
  <si>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</si>
  <si>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</si>
  <si>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</si>
  <si>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</si>
  <si>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</si>
  <si>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</si>
  <si>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</si>
  <si>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</si>
  <si>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</si>
  <si>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</si>
  <si>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</si>
  <si>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</si>
  <si>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</si>
  <si>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</si>
  <si>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</si>
  <si>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</si>
  <si>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</si>
  <si>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</si>
  <si>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</si>
  <si>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</si>
  <si>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</si>
  <si>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</si>
  <si>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</si>
  <si>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</si>
  <si>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</si>
  <si>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</si>
  <si>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</si>
  <si>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</si>
  <si>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</si>
  <si>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</si>
  <si>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</si>
  <si>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</si>
  <si>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</si>
  <si>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</si>
  <si>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</si>
  <si>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</si>
  <si>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</si>
  <si>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</si>
  <si>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</si>
  <si>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</si>
  <si>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</si>
  <si>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</si>
  <si>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</si>
  <si>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</si>
  <si>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</si>
  <si>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</si>
  <si>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</si>
  <si>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</si>
  <si>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</si>
  <si>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</si>
  <si>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</si>
  <si>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</si>
  <si>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</si>
  <si>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</si>
  <si>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</si>
  <si>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</si>
  <si>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</si>
  <si>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</si>
  <si>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</si>
  <si>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</si>
  <si>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</si>
  <si>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</si>
  <si>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</si>
  <si>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</si>
  <si>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</si>
  <si>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</si>
  <si>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</si>
  <si>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</si>
  <si>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</si>
  <si>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</si>
  <si>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</si>
  <si>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</si>
  <si>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</si>
  <si>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</si>
  <si>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</si>
  <si>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</si>
  <si>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</si>
  <si>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</si>
  <si>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</si>
  <si>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</si>
  <si>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</si>
  <si>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</si>
  <si>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</si>
  <si>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</si>
  <si>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</si>
  <si>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</si>
  <si>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</si>
  <si>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</si>
  <si>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</si>
  <si>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</si>
  <si>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</si>
  <si>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</si>
  <si>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</si>
  <si>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</si>
  <si>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</si>
  <si>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</si>
  <si>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</si>
  <si>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</si>
  <si>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</si>
  <si>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</si>
  <si>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</si>
  <si>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</si>
  <si>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</si>
  <si>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</si>
  <si>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</si>
  <si>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</si>
  <si>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</si>
  <si>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</si>
  <si>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</si>
  <si>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</si>
  <si>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</si>
  <si>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</si>
  <si>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</si>
  <si>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</si>
  <si>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</si>
  <si>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</si>
  <si>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</si>
  <si>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</si>
  <si>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</si>
  <si>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</si>
  <si>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</si>
  <si>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</si>
  <si>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</si>
  <si>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</si>
  <si>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</si>
  <si>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</si>
  <si>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</si>
  <si>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</si>
  <si>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</si>
  <si>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</si>
  <si>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</si>
  <si>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</si>
  <si>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</si>
  <si>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</si>
  <si>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</si>
  <si>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</si>
  <si>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</si>
  <si>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</si>
  <si>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</si>
  <si>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</si>
  <si>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</si>
  <si>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</si>
  <si>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</si>
  <si>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</si>
  <si>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</si>
  <si>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</si>
  <si>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</si>
  <si>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</si>
  <si>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</si>
  <si>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</si>
  <si>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</si>
  <si>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</si>
  <si>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</si>
  <si>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</si>
  <si>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</si>
  <si>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</si>
  <si>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</si>
  <si>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</si>
  <si>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</si>
  <si>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</si>
  <si>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</si>
  <si>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</si>
  <si>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</si>
  <si>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</si>
  <si>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</si>
  <si>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</si>
  <si>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</si>
  <si>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</si>
  <si>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</si>
  <si>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</si>
  <si>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</si>
  <si>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</si>
  <si>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</si>
  <si>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</si>
  <si>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</si>
  <si>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</si>
  <si>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</si>
  <si>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</si>
  <si>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</si>
  <si>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</si>
  <si>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</si>
  <si>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</si>
  <si>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</si>
  <si>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</si>
  <si>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</si>
  <si>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</si>
  <si>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</si>
  <si>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</si>
  <si>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</si>
  <si>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</si>
  <si>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</si>
  <si>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</si>
  <si>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</si>
  <si>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</si>
  <si>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</si>
  <si>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</si>
  <si>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</si>
  <si>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</si>
  <si>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</si>
  <si>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</si>
  <si>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</si>
  <si>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</si>
  <si>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</si>
  <si>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</si>
  <si>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</si>
  <si>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</si>
  <si>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</si>
  <si>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</si>
  <si>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</si>
  <si>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</si>
  <si>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</si>
  <si>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</si>
  <si>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</si>
  <si>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</si>
  <si>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</si>
  <si>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</si>
  <si>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</si>
  <si>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</si>
  <si>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</si>
  <si>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</si>
  <si>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</si>
  <si>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</si>
  <si>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</si>
  <si>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</si>
  <si>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</si>
  <si>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</si>
  <si>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</si>
  <si>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</si>
  <si>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</si>
  <si>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</si>
  <si>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</si>
  <si>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</si>
  <si>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</si>
  <si>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</si>
  <si>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</si>
  <si>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</si>
  <si>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</si>
  <si>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</si>
  <si>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</si>
  <si>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</si>
  <si>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</si>
  <si>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</si>
  <si>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</si>
  <si>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</si>
  <si>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</si>
  <si>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</si>
  <si>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</si>
  <si>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</si>
  <si>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</si>
  <si>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</si>
  <si>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</si>
  <si>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</si>
  <si>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</si>
  <si>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</si>
  <si>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</si>
  <si>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</si>
  <si>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</si>
  <si>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</si>
  <si>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</si>
  <si>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</si>
  <si>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</si>
  <si>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</si>
  <si>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</si>
  <si>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</si>
  <si>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</si>
  <si>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</si>
  <si>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</si>
  <si>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</si>
  <si>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</si>
  <si>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</si>
  <si>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</si>
  <si>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</si>
  <si>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</si>
  <si>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</si>
  <si>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</si>
  <si>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</si>
  <si>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</si>
  <si>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</si>
  <si>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</si>
  <si>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</si>
  <si>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</si>
  <si>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</si>
  <si>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</si>
  <si>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</si>
  <si>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</si>
  <si>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</si>
  <si>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</si>
  <si>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</si>
  <si>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</si>
  <si>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</si>
  <si>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</si>
  <si>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</si>
  <si>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</si>
  <si>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</si>
  <si>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</si>
  <si>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</si>
  <si>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</si>
  <si>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</si>
  <si>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</si>
  <si>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</si>
  <si>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</si>
  <si>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</si>
  <si>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</si>
  <si>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</si>
  <si>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</si>
  <si>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</si>
  <si>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</si>
  <si>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</si>
  <si>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</si>
  <si>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</si>
  <si>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</si>
  <si>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</si>
  <si>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</si>
  <si>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</si>
  <si>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</si>
  <si>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</si>
  <si>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</si>
  <si>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</si>
  <si>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</si>
  <si>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</si>
  <si>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</si>
  <si>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</si>
  <si>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</si>
  <si>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</si>
  <si>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</si>
  <si>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</si>
  <si>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</si>
  <si>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</si>
  <si>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</si>
  <si>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</si>
  <si>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</si>
  <si>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</si>
  <si>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</si>
  <si>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</si>
  <si>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</si>
  <si>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</si>
  <si>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</si>
  <si>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</si>
  <si>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</si>
  <si>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</si>
  <si>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</si>
  <si>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</si>
  <si>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</si>
  <si>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</si>
  <si>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</si>
  <si>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</si>
  <si>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</si>
  <si>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</si>
  <si>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</si>
  <si>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</si>
  <si>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</si>
  <si>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</si>
  <si>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</si>
  <si>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</si>
  <si>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</si>
  <si>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</si>
  <si>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</si>
  <si>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</si>
  <si>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</si>
  <si>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</si>
  <si>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</si>
  <si>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</si>
  <si>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</si>
  <si>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</si>
  <si>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</si>
  <si>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</si>
  <si>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</si>
  <si>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</si>
  <si>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</si>
  <si>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</si>
  <si>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</si>
  <si>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</si>
  <si>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</si>
  <si>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</si>
  <si>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</si>
  <si>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</si>
  <si>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</si>
  <si>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</si>
  <si>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</si>
  <si>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</si>
  <si>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</si>
  <si>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</si>
  <si>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</si>
  <si>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</si>
  <si>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</si>
  <si>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</si>
  <si>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</si>
  <si>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</si>
  <si>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</si>
  <si>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</si>
  <si>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</si>
  <si>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</si>
  <si>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</si>
  <si>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</si>
  <si>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</si>
  <si>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</si>
  <si>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</si>
  <si>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</si>
  <si>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</si>
  <si>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</si>
  <si>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</si>
  <si>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</si>
  <si>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</si>
  <si>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</si>
  <si>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</si>
  <si>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</si>
  <si>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</si>
  <si>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</si>
  <si>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</si>
  <si>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</si>
  <si>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</si>
  <si>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</si>
  <si>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</si>
  <si>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</si>
  <si>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</si>
  <si>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</si>
  <si>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</si>
  <si>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</si>
  <si>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</si>
  <si>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</si>
  <si>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</si>
  <si>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</si>
  <si>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</si>
  <si>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</si>
  <si>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</si>
  <si>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</si>
  <si>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</si>
  <si>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</si>
  <si>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</si>
  <si>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</si>
  <si>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</si>
  <si>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</si>
  <si>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</si>
  <si>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</si>
  <si>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</si>
  <si>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</si>
  <si>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</si>
  <si>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</si>
  <si>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</si>
  <si>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</si>
  <si>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</si>
  <si>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</si>
  <si>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</si>
  <si>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</si>
  <si>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</si>
  <si>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</si>
  <si>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</si>
  <si>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</si>
  <si>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</si>
  <si>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</si>
  <si>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</si>
  <si>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</si>
  <si>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</si>
  <si>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</si>
  <si>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</si>
  <si>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</si>
  <si>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</si>
  <si>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</si>
  <si>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</si>
  <si>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</si>
  <si>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</si>
  <si>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</si>
  <si>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</si>
  <si>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</si>
  <si>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</si>
  <si>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</si>
  <si>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</si>
  <si>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</si>
  <si>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</si>
  <si>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</si>
  <si>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</si>
  <si>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</si>
  <si>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</si>
  <si>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</si>
  <si>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</si>
  <si>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</si>
  <si>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</si>
  <si>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</si>
  <si>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</si>
  <si>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</si>
  <si>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</si>
  <si>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</si>
  <si>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</si>
  <si>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</si>
  <si>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</si>
  <si>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</si>
  <si>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</si>
  <si>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</si>
  <si>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</si>
  <si>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</si>
  <si>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</si>
  <si>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</si>
  <si>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</si>
  <si>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</si>
  <si>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</si>
  <si>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</si>
  <si>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</si>
  <si>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</si>
  <si>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</si>
  <si>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</si>
  <si>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</si>
  <si>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</si>
  <si>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</si>
  <si>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</si>
  <si>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</si>
  <si>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</si>
  <si>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</si>
  <si>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</si>
  <si>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</si>
  <si>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</si>
  <si>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</si>
  <si>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</si>
  <si>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</si>
  <si>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</si>
  <si>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</si>
  <si>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</si>
  <si>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</si>
  <si>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</si>
  <si>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</si>
  <si>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</si>
  <si>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</si>
  <si>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</si>
  <si>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</si>
  <si>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</si>
  <si>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</si>
  <si>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</si>
  <si>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</si>
  <si>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</si>
  <si>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</si>
  <si>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</si>
  <si>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</si>
  <si>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</si>
  <si>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</si>
  <si>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</si>
  <si>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</si>
  <si>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</si>
  <si>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</si>
  <si>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</si>
  <si>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</si>
  <si>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</si>
  <si>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</si>
  <si>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</si>
  <si>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</si>
  <si>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</si>
  <si>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</si>
  <si>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</si>
  <si>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</si>
  <si>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</si>
  <si>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</si>
  <si>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</si>
  <si>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</si>
  <si>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</si>
  <si>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</si>
  <si>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</si>
  <si>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</si>
  <si>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</si>
  <si>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</si>
  <si>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</si>
  <si>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</si>
  <si>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</si>
  <si>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</si>
  <si>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</si>
  <si>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</si>
  <si>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</si>
  <si>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</si>
  <si>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</si>
  <si>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</si>
  <si>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</si>
  <si>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</si>
  <si>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</si>
  <si>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</si>
  <si>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</si>
  <si>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</si>
  <si>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</si>
  <si>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</si>
  <si>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</si>
  <si>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</si>
  <si>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</si>
  <si>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</si>
  <si>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</si>
  <si>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</si>
  <si>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</si>
  <si>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</si>
  <si>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</si>
  <si>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</si>
  <si>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</si>
  <si>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</si>
  <si>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</si>
  <si>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</si>
  <si>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</si>
  <si>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</si>
  <si>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</si>
  <si>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</si>
  <si>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</si>
  <si>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</si>
  <si>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</si>
  <si>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</si>
  <si>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</si>
  <si>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</si>
  <si>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</si>
  <si>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</si>
  <si>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</si>
  <si>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</si>
  <si>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</si>
  <si>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</si>
  <si>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</si>
  <si>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</si>
  <si>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</si>
  <si>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</si>
  <si>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</si>
  <si>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</si>
  <si>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</si>
  <si>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</si>
  <si>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</si>
  <si>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</si>
  <si>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</si>
  <si>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</si>
  <si>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</si>
  <si>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</si>
  <si>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</si>
  <si>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</si>
  <si>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</si>
  <si>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</si>
  <si>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</si>
  <si>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</si>
  <si>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</si>
  <si>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</si>
  <si>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</si>
  <si>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</si>
  <si>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</si>
  <si>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</si>
  <si>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</si>
  <si>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</si>
  <si>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</si>
  <si>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</si>
  <si>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</si>
  <si>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</si>
  <si>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</si>
  <si>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</si>
  <si>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</si>
  <si>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</si>
  <si>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</si>
  <si>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</si>
  <si>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</si>
  <si>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</si>
  <si>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</si>
  <si>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</si>
  <si>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</si>
  <si>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</si>
  <si>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</si>
  <si>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</si>
  <si>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</si>
  <si>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</si>
  <si>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</si>
  <si>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</si>
  <si>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</si>
  <si>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</si>
  <si>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</si>
  <si>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</si>
  <si>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</si>
  <si>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</si>
  <si>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</si>
  <si>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</si>
  <si>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</si>
  <si>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</si>
  <si>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</si>
  <si>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</si>
  <si>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</si>
  <si>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</si>
  <si>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</si>
  <si>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</si>
  <si>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</si>
  <si>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</si>
  <si>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</si>
  <si>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</si>
  <si>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</si>
  <si>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</si>
  <si>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</si>
  <si>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</si>
  <si>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</si>
  <si>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</si>
  <si>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</si>
  <si>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</si>
  <si>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</si>
  <si>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</si>
  <si>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</si>
  <si>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</si>
  <si>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</si>
  <si>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</si>
  <si>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</si>
  <si>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</si>
  <si>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</si>
  <si>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</si>
  <si>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</si>
  <si>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</si>
  <si>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</si>
  <si>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</si>
  <si>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</si>
  <si>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</si>
  <si>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</si>
  <si>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</si>
  <si>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</si>
  <si>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</si>
  <si>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</si>
  <si>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</si>
  <si>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</si>
  <si>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</si>
  <si>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</si>
  <si>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</si>
  <si>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</si>
  <si>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</si>
  <si>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</si>
  <si>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</si>
  <si>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</si>
  <si>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</si>
  <si>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</si>
  <si>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</si>
  <si>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</si>
  <si>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</si>
  <si>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</si>
  <si>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</si>
  <si>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</si>
  <si>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</si>
  <si>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</si>
  <si>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</si>
  <si>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</si>
  <si>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</si>
  <si>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</si>
  <si>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</si>
  <si>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</si>
  <si>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</si>
  <si>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</si>
  <si>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</si>
  <si>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</si>
  <si>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</si>
  <si>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</si>
  <si>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</si>
  <si>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</si>
  <si>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</si>
  <si>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</si>
  <si>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</si>
  <si>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</si>
  <si>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</si>
  <si>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</si>
  <si>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</si>
  <si>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</si>
  <si>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</si>
  <si>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</si>
  <si>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</si>
  <si>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</si>
  <si>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</si>
  <si>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</si>
  <si>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</si>
  <si>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</si>
  <si>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</si>
  <si>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</si>
  <si>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</si>
  <si>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</si>
  <si>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</si>
  <si>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</si>
  <si>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</si>
  <si>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</si>
  <si>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</si>
  <si>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</si>
  <si>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</si>
  <si>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</si>
  <si>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</si>
  <si>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</si>
  <si>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</si>
  <si>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</si>
  <si>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</si>
  <si>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</si>
  <si>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</si>
  <si>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</si>
  <si>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</si>
  <si>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</si>
  <si>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</si>
  <si>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</si>
  <si>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</si>
  <si>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</si>
  <si>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</si>
  <si>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</si>
  <si>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</si>
  <si>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</si>
  <si>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</si>
  <si>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</si>
  <si>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</si>
  <si>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</si>
  <si>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</si>
  <si>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</si>
  <si>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</si>
  <si>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</si>
  <si>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</si>
  <si>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</si>
  <si>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</si>
  <si>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</si>
  <si>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</si>
  <si>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</si>
  <si>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</si>
  <si>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</si>
  <si>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</si>
  <si>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</si>
  <si>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</si>
  <si>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</si>
  <si>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</si>
  <si>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</si>
  <si>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</si>
  <si>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</si>
  <si>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</si>
  <si>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</si>
  <si>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</si>
  <si>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</si>
  <si>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</si>
  <si>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</si>
  <si>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</si>
  <si>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</si>
  <si>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</si>
  <si>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</si>
  <si>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</si>
  <si>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</si>
  <si>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</si>
  <si>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</si>
  <si>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</si>
  <si>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</si>
  <si>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</si>
  <si>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</si>
  <si>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</si>
  <si>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</si>
  <si>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</si>
  <si>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</si>
  <si>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</si>
  <si>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</si>
  <si>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</si>
  <si>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</si>
  <si>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</si>
  <si>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</si>
  <si>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</si>
  <si>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</si>
  <si>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</si>
  <si>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</si>
  <si>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</si>
  <si>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</si>
  <si>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</si>
  <si>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</si>
  <si>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</si>
  <si>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</si>
  <si>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</si>
  <si>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</si>
  <si>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</si>
  <si>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</si>
  <si>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</si>
  <si>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</si>
  <si>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</si>
  <si>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</si>
  <si>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</si>
  <si>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</si>
  <si>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</si>
  <si>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</si>
  <si>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</si>
  <si>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</si>
  <si>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</si>
  <si>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</si>
  <si>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</si>
  <si>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</si>
  <si>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</si>
  <si>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</si>
  <si>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</si>
  <si>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</si>
  <si>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</si>
  <si>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</si>
  <si>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</si>
  <si>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</si>
  <si>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</si>
  <si>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</si>
  <si>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</si>
  <si>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</si>
  <si>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</si>
  <si>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</si>
  <si>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</si>
  <si>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</si>
  <si>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</si>
  <si>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</si>
  <si>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</si>
  <si>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</si>
  <si>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</si>
  <si>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</si>
  <si>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</si>
  <si>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</si>
  <si>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</si>
  <si>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</si>
  <si>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</si>
  <si>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</si>
  <si>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</si>
  <si>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</si>
  <si>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</si>
  <si>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</si>
  <si>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</si>
  <si>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</si>
  <si>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</si>
  <si>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</si>
  <si>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</si>
  <si>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</si>
  <si>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</si>
  <si>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</si>
  <si>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</si>
  <si>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</si>
  <si>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</si>
  <si>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</si>
  <si>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</si>
  <si>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</si>
  <si>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</si>
  <si>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</si>
  <si>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</si>
  <si>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</si>
  <si>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</si>
  <si>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</si>
  <si>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</si>
  <si>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</si>
  <si>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</si>
  <si>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</si>
  <si>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</si>
  <si>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</si>
  <si>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</si>
  <si>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</si>
  <si>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</si>
  <si>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</si>
  <si>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</si>
  <si>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</si>
  <si>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</si>
  <si>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</si>
  <si>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</si>
  <si>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</si>
  <si>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</si>
  <si>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</si>
  <si>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</si>
  <si>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</si>
  <si>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</si>
  <si>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</si>
  <si>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</si>
  <si>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</si>
  <si>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</si>
  <si>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</si>
  <si>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</si>
  <si>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</si>
  <si>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</si>
  <si>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</si>
  <si>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</si>
  <si>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</si>
  <si>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</si>
  <si>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</si>
  <si>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</si>
  <si>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</si>
  <si>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</si>
  <si>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</si>
  <si>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</si>
  <si>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</si>
  <si>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</si>
  <si>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</si>
  <si>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</si>
  <si>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</si>
  <si>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</si>
  <si>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</si>
  <si>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</si>
  <si>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</si>
  <si>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</si>
  <si>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</si>
  <si>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</si>
  <si>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</si>
  <si>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</si>
  <si>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</si>
  <si>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</si>
  <si>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</si>
  <si>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</si>
  <si>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</si>
  <si>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</si>
  <si>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</si>
  <si>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</si>
  <si>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</si>
  <si>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</si>
  <si>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</si>
  <si>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</si>
  <si>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</si>
  <si>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</si>
  <si>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</si>
  <si>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</si>
  <si>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</si>
  <si>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</si>
  <si>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</si>
  <si>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</si>
  <si>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</si>
  <si>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</si>
  <si>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</si>
  <si>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</si>
  <si>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</si>
  <si>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</si>
  <si>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</si>
  <si>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</si>
  <si>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</si>
  <si>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</si>
  <si>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</si>
  <si>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</si>
  <si>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</si>
  <si>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</si>
  <si>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</si>
  <si>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</si>
  <si>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</si>
  <si>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</si>
  <si>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</si>
  <si>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</si>
  <si>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</si>
  <si>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</si>
  <si>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</si>
  <si>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</si>
  <si>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</si>
  <si>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</si>
  <si>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</si>
  <si>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</si>
  <si>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</si>
  <si>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</si>
  <si>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</si>
  <si>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</si>
  <si>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</si>
  <si>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</si>
  <si>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</si>
  <si>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</si>
  <si>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</si>
  <si>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</si>
  <si>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</si>
  <si>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</si>
  <si>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</si>
  <si>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</si>
  <si>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</si>
  <si>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</si>
  <si>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</si>
  <si>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</si>
  <si>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</si>
  <si>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</si>
  <si>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</si>
  <si>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</si>
  <si>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</si>
  <si>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</si>
  <si>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</si>
  <si>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</si>
  <si>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</si>
  <si>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</si>
  <si>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</si>
  <si>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</si>
  <si>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</si>
  <si>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</si>
  <si>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</si>
  <si>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</si>
  <si>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</si>
  <si>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</si>
  <si>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</si>
  <si>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</si>
  <si>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</si>
  <si>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</si>
  <si>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</si>
  <si>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</si>
  <si>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</si>
  <si>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</si>
  <si>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</si>
  <si>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</si>
  <si>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</si>
  <si>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</si>
  <si>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</si>
  <si>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</si>
  <si>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</si>
  <si>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</si>
  <si>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</si>
  <si>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</si>
  <si>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</si>
  <si>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</si>
  <si>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</si>
  <si>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</si>
  <si>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</si>
  <si>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</si>
  <si>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</si>
  <si>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</si>
  <si>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</si>
  <si>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</si>
  <si>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</si>
  <si>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</si>
  <si>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</si>
  <si>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</si>
  <si>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</si>
  <si>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</si>
  <si>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</si>
  <si>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</si>
  <si>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</si>
  <si>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</si>
  <si>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</si>
  <si>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</si>
  <si>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</si>
  <si>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</si>
  <si>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</si>
  <si>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</si>
  <si>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</si>
  <si>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</si>
  <si>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</si>
  <si>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</si>
  <si>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</si>
  <si>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</si>
  <si>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</si>
  <si>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</si>
  <si>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</si>
  <si>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</si>
  <si>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</si>
  <si>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</si>
  <si>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</si>
  <si>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</si>
  <si>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</si>
  <si>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</si>
  <si>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</si>
  <si>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</si>
  <si>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</si>
  <si>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</si>
  <si>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</si>
  <si>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</si>
  <si>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</si>
  <si>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</si>
  <si>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</si>
  <si>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</si>
  <si>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</si>
  <si>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</si>
  <si>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</si>
  <si>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</si>
  <si>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</si>
  <si>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</si>
  <si>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</si>
  <si>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</si>
  <si>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</si>
  <si>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</si>
  <si>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</si>
  <si>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</si>
  <si>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</si>
  <si>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</si>
  <si>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</si>
  <si>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</si>
  <si>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</si>
  <si>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</si>
  <si>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</si>
  <si>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</si>
  <si>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</si>
  <si>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</si>
  <si>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</si>
  <si>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</si>
  <si>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</si>
  <si>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</si>
  <si>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</si>
  <si>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</si>
  <si>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</si>
  <si>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</si>
  <si>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</si>
  <si>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</si>
  <si>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</si>
  <si>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</si>
  <si>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</si>
  <si>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</si>
  <si>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</si>
  <si>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</si>
  <si>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</si>
  <si>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</si>
  <si>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</si>
  <si>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</si>
  <si>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</si>
  <si>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</si>
  <si>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</si>
  <si>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</si>
  <si>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</si>
  <si>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</si>
  <si>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</si>
  <si>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</si>
  <si>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</si>
  <si>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</si>
  <si>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</si>
  <si>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</si>
  <si>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</si>
  <si>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</si>
  <si>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</si>
  <si>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</si>
  <si>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</si>
  <si>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</si>
  <si>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</si>
  <si>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</si>
  <si>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</si>
  <si>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</si>
  <si>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</si>
  <si>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</si>
  <si>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</si>
  <si>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</si>
  <si>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</si>
  <si>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</si>
  <si>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</si>
  <si>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</si>
  <si>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</si>
  <si>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</si>
  <si>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</si>
  <si>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</si>
  <si>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</si>
  <si>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</si>
  <si>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</si>
  <si>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</si>
  <si>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</si>
  <si>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</si>
  <si>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</si>
  <si>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</si>
  <si>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</si>
  <si>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</si>
  <si>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</si>
  <si>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</si>
  <si>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</si>
  <si>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</si>
  <si>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</si>
  <si>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</si>
  <si>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</si>
  <si>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</si>
  <si>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</si>
  <si>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</si>
  <si>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</si>
  <si>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</si>
  <si>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</si>
  <si>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</si>
  <si>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</si>
  <si>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</si>
  <si>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</si>
  <si>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</si>
  <si>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</si>
  <si>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</si>
  <si>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</si>
  <si>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</si>
  <si>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</si>
  <si>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</si>
  <si>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</si>
  <si>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</si>
  <si>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</si>
  <si>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</si>
  <si>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</si>
  <si>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</si>
  <si>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</si>
  <si>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</si>
  <si>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</si>
  <si>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</si>
  <si>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</si>
  <si>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</si>
  <si>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</si>
  <si>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</si>
  <si>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</si>
  <si>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</si>
  <si>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</si>
  <si>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</si>
  <si>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</si>
  <si>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</si>
  <si>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</si>
  <si>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</si>
  <si>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</si>
  <si>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</si>
  <si>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</si>
  <si>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</si>
  <si>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</si>
  <si>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</si>
  <si>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</si>
  <si>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</si>
  <si>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</si>
  <si>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</si>
  <si>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</si>
  <si>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</si>
  <si>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</si>
  <si>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</si>
  <si>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</si>
  <si>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</si>
  <si>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</si>
  <si>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</si>
  <si>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</si>
  <si>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</si>
  <si>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</si>
  <si>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</si>
  <si>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</si>
  <si>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</si>
  <si>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</si>
  <si>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</si>
  <si>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</si>
  <si>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</si>
  <si>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</si>
  <si>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</si>
  <si>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</si>
  <si>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</si>
  <si>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</si>
  <si>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</si>
  <si>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</si>
  <si>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</si>
  <si>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</si>
  <si>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</si>
  <si>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</si>
  <si>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</si>
  <si>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</si>
  <si>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</si>
  <si>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</si>
  <si>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</si>
  <si>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</si>
  <si>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</si>
  <si>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</si>
  <si>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</si>
  <si>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</si>
  <si>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</si>
  <si>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</si>
  <si>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</si>
  <si>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</si>
  <si>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</si>
  <si>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</si>
  <si>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</si>
  <si>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</si>
  <si>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</si>
  <si>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</si>
  <si>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</si>
  <si>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</si>
  <si>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</si>
  <si>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</si>
  <si>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</si>
  <si>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</si>
  <si>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</si>
  <si>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</si>
  <si>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</si>
  <si>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</si>
  <si>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</si>
  <si>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</si>
  <si>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</si>
  <si>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</si>
  <si>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</si>
  <si>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</si>
  <si>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</si>
  <si>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</si>
  <si>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</si>
  <si>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</si>
  <si>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</si>
  <si>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</si>
  <si>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</si>
  <si>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</si>
  <si>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</si>
  <si>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</si>
  <si>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</si>
  <si>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</si>
  <si>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</si>
  <si>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</si>
  <si>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</si>
  <si>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</si>
  <si>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</si>
  <si>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</si>
  <si>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</si>
  <si>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</si>
  <si>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</si>
  <si>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</si>
  <si>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</si>
  <si>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</si>
  <si>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</si>
  <si>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</si>
  <si>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</si>
  <si>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</si>
  <si>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</si>
  <si>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</si>
  <si>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</si>
  <si>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</si>
  <si>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</si>
  <si>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</si>
  <si>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</si>
  <si>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</si>
  <si>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</si>
  <si>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</si>
  <si>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</si>
  <si>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</si>
  <si>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</si>
  <si>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</si>
  <si>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</si>
  <si>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</si>
  <si>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</si>
  <si>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</si>
  <si>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</si>
  <si>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</si>
  <si>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</si>
  <si>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</si>
  <si>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</si>
  <si>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</si>
  <si>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</si>
  <si>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</si>
  <si>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</si>
  <si>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</si>
  <si>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</si>
  <si>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</si>
  <si>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</si>
  <si>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</si>
  <si>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</si>
  <si>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</si>
  <si>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</si>
  <si>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</si>
  <si>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</si>
  <si>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</si>
  <si>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</si>
  <si>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</si>
  <si>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</si>
  <si>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</si>
  <si>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</si>
  <si>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</si>
  <si>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</si>
  <si>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</si>
  <si>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</si>
  <si>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</si>
  <si>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</si>
  <si>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</si>
  <si>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</si>
  <si>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</si>
  <si>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</si>
  <si>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</si>
  <si>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</si>
  <si>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</si>
  <si>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</si>
  <si>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</si>
  <si>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</si>
  <si>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</si>
  <si>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</si>
  <si>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</si>
  <si>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</si>
  <si>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</si>
  <si>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</si>
  <si>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</si>
  <si>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</si>
  <si>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</si>
  <si>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</si>
  <si>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</si>
  <si>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</si>
  <si>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</si>
  <si>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</si>
  <si>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</si>
  <si>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</si>
  <si>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</si>
  <si>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</si>
  <si>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</si>
  <si>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</si>
  <si>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</si>
  <si>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</si>
  <si>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</si>
  <si>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</si>
  <si>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</si>
  <si>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</si>
  <si>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</si>
  <si>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</si>
  <si>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</si>
  <si>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</si>
  <si>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</si>
  <si>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</si>
  <si>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</si>
  <si>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</si>
  <si>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</si>
  <si>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</si>
  <si>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</si>
  <si>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</si>
  <si>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</si>
  <si>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</si>
  <si>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</si>
  <si>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</si>
  <si>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</si>
  <si>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</si>
  <si>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</si>
  <si>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</si>
  <si>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</si>
  <si>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</si>
  <si>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</si>
  <si>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</si>
  <si>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</si>
  <si>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</si>
  <si>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</si>
  <si>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</si>
  <si>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</si>
  <si>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</si>
  <si>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</si>
  <si>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</si>
  <si>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</si>
  <si>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</si>
  <si>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</si>
  <si>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</si>
  <si>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</si>
  <si>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</si>
  <si>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</si>
  <si>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</si>
  <si>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</si>
  <si>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</si>
  <si>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</si>
  <si>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</si>
  <si>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</si>
  <si>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</si>
  <si>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</si>
  <si>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</si>
  <si>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</si>
  <si>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</si>
  <si>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</si>
  <si>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</si>
  <si>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</si>
  <si>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</si>
  <si>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</si>
  <si>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</si>
  <si>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</si>
  <si>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</si>
  <si>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</si>
  <si>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</si>
  <si>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</si>
  <si>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</si>
  <si>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</si>
  <si>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</si>
  <si>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</si>
  <si>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</si>
  <si>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</si>
  <si>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</si>
  <si>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</si>
  <si>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</si>
  <si>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</si>
  <si>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</si>
  <si>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</si>
  <si>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</si>
  <si>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</si>
  <si>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</si>
  <si>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</si>
  <si>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</si>
  <si>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</si>
  <si>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</si>
  <si>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</si>
  <si>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</si>
  <si>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</si>
  <si>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</si>
  <si>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</si>
  <si>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</si>
  <si>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</si>
  <si>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</si>
  <si>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</si>
  <si>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</si>
  <si>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</si>
  <si>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</si>
  <si>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</si>
  <si>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</si>
  <si>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</si>
  <si>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</si>
  <si>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</si>
  <si>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</si>
  <si>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</si>
  <si>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</si>
  <si>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</si>
  <si>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</si>
  <si>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</si>
  <si>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</si>
  <si>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</si>
  <si>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</si>
  <si>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</si>
  <si>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</si>
  <si>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</si>
  <si>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</si>
  <si>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</si>
  <si>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</si>
  <si>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</si>
  <si>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</si>
  <si>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</si>
  <si>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</si>
  <si>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</si>
  <si>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</si>
  <si>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</si>
  <si>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</si>
  <si>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</si>
  <si>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</si>
  <si>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</si>
  <si>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</si>
  <si>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</si>
  <si>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</si>
  <si>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</si>
  <si>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</si>
  <si>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</si>
  <si>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</si>
  <si>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</si>
  <si>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</si>
  <si>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</si>
  <si>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</si>
  <si>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</si>
  <si>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</si>
  <si>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</si>
  <si>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</si>
  <si>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</si>
  <si>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</si>
  <si>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</si>
  <si>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</si>
  <si>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</si>
  <si>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</si>
  <si>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</si>
  <si>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</si>
  <si>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</si>
  <si>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</si>
  <si>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</si>
  <si>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</si>
  <si>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</si>
  <si>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</si>
  <si>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</si>
  <si>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</si>
  <si>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</si>
  <si>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</si>
  <si>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</si>
  <si>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</si>
  <si>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</si>
  <si>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</si>
  <si>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</si>
  <si>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</si>
  <si>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</si>
  <si>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</si>
  <si>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</si>
  <si>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</si>
  <si>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</si>
  <si>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</si>
  <si>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</si>
  <si>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</si>
  <si>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</si>
  <si>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</si>
  <si>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</si>
  <si>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</si>
  <si>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</si>
  <si>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</si>
  <si>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</si>
  <si>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</si>
  <si>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</si>
  <si>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</si>
  <si>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</si>
  <si>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</si>
  <si>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</si>
  <si>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</si>
  <si>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</si>
  <si>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</si>
  <si>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</si>
  <si>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</si>
  <si>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</si>
  <si>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</si>
  <si>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</si>
  <si>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</si>
  <si>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</si>
  <si>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</si>
  <si>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</si>
  <si>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</si>
  <si>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</si>
  <si>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</si>
  <si>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</si>
  <si>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</si>
  <si>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</si>
  <si>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</si>
  <si>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</si>
  <si>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</si>
  <si>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</si>
  <si>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</si>
  <si>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</si>
  <si>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</si>
  <si>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</si>
  <si>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</si>
  <si>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</si>
  <si>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</si>
  <si>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</si>
  <si>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</si>
  <si>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</si>
  <si>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</si>
  <si>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</si>
  <si>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</si>
  <si>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</si>
  <si>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</si>
  <si>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</si>
  <si>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</si>
  <si>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</si>
  <si>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</si>
  <si>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</si>
  <si>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</si>
  <si>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</si>
  <si>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</si>
  <si>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</si>
  <si>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</si>
  <si>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</si>
  <si>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</si>
  <si>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</si>
  <si>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</si>
  <si>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</si>
  <si>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</si>
  <si>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</si>
  <si>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</si>
  <si>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</si>
  <si>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</si>
  <si>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</si>
  <si>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</si>
  <si>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</si>
  <si>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</si>
  <si>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</si>
  <si>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</si>
  <si>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</si>
  <si>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</si>
  <si>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</si>
  <si>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</si>
  <si>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</si>
  <si>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</si>
  <si>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</si>
  <si>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</si>
  <si>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</si>
  <si>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</si>
  <si>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</si>
  <si>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</si>
  <si>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</si>
  <si>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</si>
  <si>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</si>
  <si>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</si>
  <si>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</si>
  <si>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</si>
  <si>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</si>
  <si>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</si>
  <si>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</si>
  <si>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</si>
  <si>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</si>
  <si>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</si>
  <si>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</si>
  <si>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</si>
  <si>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</si>
  <si>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</si>
  <si>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</si>
  <si>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</si>
  <si>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</si>
  <si>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</si>
  <si>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</si>
  <si>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</si>
  <si>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</si>
  <si>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</si>
  <si>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</si>
  <si>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</si>
  <si>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</si>
  <si>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</si>
  <si>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</si>
  <si>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</si>
  <si>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</si>
  <si>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</si>
  <si>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</si>
  <si>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</si>
  <si>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</si>
  <si>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</si>
  <si>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</si>
  <si>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</si>
  <si>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</si>
  <si>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</si>
  <si>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</si>
  <si>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</si>
  <si>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</si>
  <si>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</si>
  <si>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</si>
  <si>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</si>
  <si>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</si>
  <si>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</si>
  <si>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</si>
  <si>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</si>
  <si>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</si>
  <si>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</si>
  <si>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</si>
  <si>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</si>
  <si>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</si>
  <si>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</si>
  <si>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</si>
  <si>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</si>
  <si>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</si>
  <si>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</si>
  <si>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</si>
  <si>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</si>
  <si>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</si>
  <si>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</si>
  <si>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</si>
  <si>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</si>
  <si>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</si>
  <si>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</si>
  <si>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</si>
  <si>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</si>
  <si>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</si>
  <si>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</si>
  <si>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</si>
  <si>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</si>
  <si>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</si>
  <si>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</si>
  <si>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</si>
  <si>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</si>
  <si>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</si>
  <si>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</si>
  <si>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</si>
  <si>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</si>
  <si>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</si>
  <si>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</si>
  <si>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</si>
  <si>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</si>
  <si>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</si>
  <si>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</si>
  <si>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</si>
  <si>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</si>
  <si>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</si>
  <si>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</si>
  <si>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</si>
  <si>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</si>
  <si>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</si>
  <si>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</si>
  <si>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</si>
  <si>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</si>
  <si>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</si>
  <si>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</si>
  <si>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</si>
  <si>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</si>
  <si>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</si>
  <si>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</si>
  <si>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</si>
  <si>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</si>
  <si>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</si>
  <si>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</si>
  <si>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</si>
  <si>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</si>
  <si>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</si>
  <si>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</si>
  <si>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</si>
  <si>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</si>
  <si>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</si>
  <si>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</si>
  <si>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</si>
  <si>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</si>
  <si>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</si>
  <si>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</si>
  <si>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</si>
  <si>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</si>
  <si>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</si>
  <si>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</si>
  <si>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</si>
  <si>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</si>
  <si>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</si>
  <si>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</si>
  <si>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</si>
  <si>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</si>
  <si>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</si>
  <si>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</si>
  <si>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</si>
  <si>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</si>
  <si>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</si>
  <si>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</si>
  <si>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</si>
  <si>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</si>
  <si>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</si>
  <si>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</si>
  <si>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</si>
  <si>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</si>
  <si>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</si>
  <si>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</si>
  <si>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</si>
  <si>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</si>
  <si>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</si>
  <si>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</si>
  <si>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</si>
  <si>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</si>
  <si>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</si>
  <si>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</si>
  <si>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</si>
  <si>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</si>
  <si>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</si>
  <si>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</si>
  <si>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</si>
  <si>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</si>
  <si>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</si>
  <si>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</si>
  <si>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</si>
  <si>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</si>
  <si>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</si>
  <si>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</si>
  <si>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</si>
  <si>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</si>
  <si>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</si>
  <si>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</si>
  <si>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</si>
  <si>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</si>
  <si>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</si>
  <si>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</si>
  <si>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</si>
  <si>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</si>
  <si>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</si>
  <si>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</si>
  <si>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</si>
  <si>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</si>
  <si>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</si>
  <si>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</si>
  <si>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</si>
  <si>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</si>
  <si>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</si>
  <si>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</si>
  <si>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</si>
  <si>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</si>
  <si>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</si>
  <si>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</si>
  <si>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</si>
  <si>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</si>
  <si>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</si>
  <si>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</si>
  <si>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</si>
  <si>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</si>
  <si>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</si>
  <si>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</si>
  <si>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</si>
  <si>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</si>
  <si>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</si>
  <si>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</si>
  <si>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</si>
  <si>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</si>
  <si>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</si>
  <si>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</si>
  <si>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</si>
  <si>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</si>
  <si>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</si>
  <si>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</si>
  <si>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</si>
  <si>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</si>
  <si>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</si>
  <si>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</si>
  <si>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</si>
  <si>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</si>
  <si>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</si>
  <si>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</si>
  <si>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</si>
  <si>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</si>
  <si>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</si>
  <si>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</si>
  <si>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</si>
  <si>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</si>
  <si>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</si>
  <si>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</si>
  <si>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</si>
  <si>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</si>
  <si>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</si>
  <si>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</si>
  <si>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</si>
  <si>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</si>
  <si>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</si>
  <si>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</si>
  <si>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</si>
  <si>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</si>
  <si>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</si>
  <si>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</si>
  <si>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</si>
  <si>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</si>
  <si>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</si>
  <si>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</si>
  <si>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</si>
  <si>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</si>
  <si>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</si>
  <si>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</si>
  <si>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</si>
  <si>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</si>
  <si>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</si>
  <si>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</si>
  <si>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</si>
  <si>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</si>
  <si>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</si>
  <si>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</si>
  <si>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</si>
  <si>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</si>
  <si>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</si>
  <si>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</si>
  <si>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</si>
  <si>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</si>
  <si>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</si>
  <si>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</si>
  <si>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</si>
  <si>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</si>
  <si>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</si>
  <si>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</si>
  <si>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</si>
  <si>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</si>
  <si>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</si>
  <si>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</si>
  <si>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</si>
  <si>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</si>
  <si>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</si>
  <si>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</si>
  <si>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</si>
  <si>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</si>
  <si>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</si>
  <si>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</si>
  <si>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</si>
  <si>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</si>
  <si>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</si>
  <si>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</si>
  <si>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</si>
  <si>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</si>
  <si>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</si>
  <si>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</si>
  <si>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</si>
  <si>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</si>
  <si>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</si>
  <si>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</si>
  <si>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</si>
  <si>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</si>
  <si>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</si>
  <si>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</si>
  <si>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</si>
  <si>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</si>
  <si>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</si>
  <si>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</si>
  <si>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</si>
  <si>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</si>
  <si>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</si>
  <si>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</si>
  <si>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</si>
  <si>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</si>
  <si>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</si>
  <si>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</si>
  <si>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</si>
  <si>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</si>
  <si>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</si>
  <si>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</si>
  <si>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</si>
  <si>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</si>
  <si>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</si>
  <si>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</si>
  <si>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</si>
  <si>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</si>
  <si>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</si>
  <si>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</si>
  <si>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</si>
  <si>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</si>
  <si>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</si>
  <si>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</si>
  <si>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</si>
  <si>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</si>
  <si>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</si>
  <si>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</si>
  <si>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</si>
  <si>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</si>
  <si>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</si>
  <si>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</si>
  <si>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</si>
  <si>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</si>
  <si>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</si>
  <si>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</si>
  <si>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</si>
  <si>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</si>
  <si>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</si>
  <si>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</si>
  <si>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</si>
  <si>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</si>
  <si>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</si>
  <si>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</si>
  <si>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</si>
  <si>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</si>
  <si>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</si>
  <si>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</si>
  <si>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</si>
  <si>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</si>
  <si>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</si>
  <si>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</si>
  <si>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</si>
  <si>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</si>
  <si>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</si>
  <si>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</si>
  <si>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</si>
  <si>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</si>
  <si>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</si>
  <si>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</si>
  <si>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</si>
  <si>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</si>
  <si>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</si>
  <si>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</si>
  <si>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</si>
  <si>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</si>
  <si>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</si>
  <si>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</si>
  <si>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</si>
  <si>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</si>
  <si>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</si>
  <si>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</si>
  <si>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</si>
  <si>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</si>
  <si>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</si>
  <si>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</si>
  <si>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</si>
  <si>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</si>
  <si>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</si>
  <si>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</si>
  <si>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</si>
  <si>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</si>
  <si>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</si>
  <si>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</si>
  <si>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</si>
  <si>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</si>
  <si>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</si>
  <si>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</si>
  <si>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</si>
  <si>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</si>
  <si>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</si>
  <si>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</si>
  <si>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</si>
  <si>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</si>
  <si>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</si>
  <si>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</si>
  <si>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</si>
  <si>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</si>
  <si>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</si>
  <si>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</si>
  <si>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</si>
  <si>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</si>
  <si>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</si>
  <si>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</si>
  <si>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</si>
  <si>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</si>
  <si>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</si>
  <si>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</si>
  <si>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</si>
  <si>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</si>
  <si>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</si>
  <si>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</si>
  <si>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</si>
  <si>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</si>
  <si>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</si>
  <si>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</si>
  <si>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</si>
  <si>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</si>
  <si>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</si>
  <si>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</si>
  <si>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</si>
  <si>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</si>
  <si>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</si>
  <si>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</si>
  <si>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</si>
  <si>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</si>
  <si>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</si>
  <si>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</si>
  <si>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</si>
  <si>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</si>
  <si>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</si>
  <si>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</si>
  <si>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</si>
  <si>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</si>
  <si>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</si>
  <si>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</si>
  <si>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</si>
  <si>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</si>
  <si>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</si>
  <si>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</si>
  <si>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</si>
  <si>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</si>
  <si>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</si>
  <si>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</si>
  <si>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</si>
  <si>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</si>
  <si>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</si>
  <si>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</si>
  <si>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</si>
  <si>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</si>
  <si>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</si>
  <si>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</si>
  <si>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</si>
  <si>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</si>
  <si>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</si>
  <si>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</si>
  <si>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</si>
  <si>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</si>
  <si>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</si>
  <si>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</si>
  <si>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</si>
  <si>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</si>
  <si>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</si>
  <si>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</si>
  <si>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</si>
  <si>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</si>
  <si>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</si>
  <si>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</si>
  <si>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</si>
  <si>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</si>
  <si>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</si>
  <si>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</si>
  <si>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</si>
  <si>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</si>
  <si>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</si>
  <si>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</si>
  <si>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</si>
  <si>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</si>
  <si>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</si>
  <si>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</si>
  <si>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</si>
  <si>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</si>
  <si>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</si>
  <si>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</si>
  <si>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</si>
  <si>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</si>
  <si>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</si>
  <si>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</si>
  <si>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</si>
  <si>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</si>
  <si>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</si>
  <si>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</si>
  <si>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</si>
  <si>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</si>
  <si>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</si>
  <si>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</si>
  <si>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</si>
  <si>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</si>
  <si>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</si>
  <si>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</si>
  <si>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</si>
  <si>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</si>
  <si>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</si>
  <si>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</si>
  <si>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</si>
  <si>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</si>
  <si>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</si>
  <si>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</si>
  <si>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</si>
  <si>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</si>
  <si>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</si>
  <si>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</si>
  <si>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</si>
  <si>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</si>
  <si>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</si>
  <si>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</si>
  <si>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</si>
  <si>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</si>
  <si>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</si>
  <si>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</si>
  <si>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</si>
  <si>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</si>
  <si>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</si>
  <si>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</si>
  <si>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</si>
  <si>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</si>
  <si>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</si>
  <si>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</si>
  <si>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</si>
  <si>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</si>
  <si>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</si>
  <si>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</si>
  <si>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</si>
  <si>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</si>
  <si>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</si>
  <si>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</si>
  <si>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</si>
  <si>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</si>
  <si>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</si>
  <si>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</si>
  <si>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</si>
  <si>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</si>
  <si>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</si>
  <si>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</si>
  <si>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</si>
  <si>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</si>
  <si>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</si>
  <si>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</si>
  <si>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</si>
  <si>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</si>
  <si>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</si>
  <si>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</si>
  <si>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</si>
  <si>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</si>
  <si>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</si>
  <si>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</si>
  <si>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</si>
  <si>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</si>
  <si>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</si>
  <si>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</si>
  <si>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</si>
  <si>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</si>
  <si>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</si>
  <si>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</si>
  <si>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</si>
  <si>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</si>
  <si>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</si>
  <si>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</si>
  <si>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</si>
  <si>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</si>
  <si>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</si>
  <si>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</si>
  <si>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</si>
  <si>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</si>
  <si>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</si>
  <si>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</si>
  <si>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</si>
  <si>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</si>
  <si>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</si>
  <si>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</si>
  <si>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</si>
  <si>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</si>
  <si>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</si>
  <si>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</si>
  <si>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</si>
  <si>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</si>
  <si>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</si>
  <si>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</si>
  <si>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</si>
  <si>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</si>
  <si>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</si>
  <si>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</si>
  <si>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</si>
  <si>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</si>
  <si>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</si>
  <si>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</si>
  <si>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</si>
  <si>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</si>
  <si>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</si>
  <si>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</si>
  <si>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</si>
  <si>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</si>
  <si>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</si>
  <si>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</si>
  <si>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</si>
  <si>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</si>
  <si>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</si>
  <si>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</si>
  <si>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</si>
  <si>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</si>
  <si>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</si>
  <si>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</si>
  <si>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</si>
  <si>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</si>
  <si>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</si>
  <si>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</si>
  <si>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</si>
  <si>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</si>
  <si>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</si>
  <si>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</si>
  <si>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</si>
  <si>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</si>
  <si>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</si>
  <si>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</si>
  <si>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</si>
  <si>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</si>
  <si>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</si>
  <si>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</si>
  <si>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</si>
  <si>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</si>
  <si>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</si>
  <si>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</si>
  <si>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</si>
  <si>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</si>
  <si>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</si>
  <si>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</si>
  <si>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</si>
  <si>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</si>
  <si>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</si>
  <si>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</si>
  <si>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</si>
  <si>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</si>
  <si>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</si>
  <si>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</si>
  <si>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</si>
  <si>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</si>
  <si>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</si>
  <si>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</si>
  <si>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</si>
  <si>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</si>
  <si>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</si>
  <si>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</si>
  <si>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</si>
  <si>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</si>
  <si>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</si>
  <si>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</si>
  <si>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</si>
  <si>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</si>
  <si>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</si>
  <si>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</si>
  <si>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</si>
  <si>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</si>
  <si>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</si>
  <si>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</si>
  <si>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</si>
  <si>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</si>
  <si>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</si>
  <si>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</si>
  <si>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</si>
  <si>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</si>
  <si>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</si>
  <si>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</si>
  <si>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</si>
  <si>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</si>
  <si>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</si>
  <si>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</si>
  <si>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</si>
  <si>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</si>
  <si>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</si>
  <si>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</si>
  <si>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</si>
  <si>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</si>
  <si>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</si>
  <si>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</si>
  <si>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</si>
  <si>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</si>
  <si>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</si>
  <si>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</si>
  <si>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</si>
  <si>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</si>
  <si>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</si>
  <si>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</si>
  <si>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</si>
  <si>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</si>
  <si>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</si>
  <si>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</si>
  <si>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</si>
  <si>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</si>
  <si>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</si>
  <si>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</si>
  <si>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</si>
  <si>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</si>
  <si>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</si>
  <si>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</si>
  <si>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</si>
  <si>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</si>
  <si>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</si>
  <si>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</si>
  <si>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</si>
  <si>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</si>
  <si>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</si>
  <si>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</si>
  <si>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</si>
  <si>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</si>
  <si>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</si>
  <si>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</si>
  <si>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</si>
  <si>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</si>
  <si>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</si>
  <si>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</si>
  <si>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</si>
  <si>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</si>
  <si>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</si>
  <si>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</si>
  <si>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</si>
  <si>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</si>
  <si>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</si>
  <si>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</si>
  <si>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</si>
  <si>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</si>
  <si>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</si>
  <si>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</si>
  <si>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</si>
  <si>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</si>
  <si>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</si>
  <si>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</si>
  <si>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</si>
  <si>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</si>
  <si>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</si>
  <si>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</si>
  <si>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</si>
  <si>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</si>
  <si>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</si>
  <si>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</si>
  <si>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</si>
  <si>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</si>
  <si>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</si>
  <si>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</si>
  <si>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</si>
  <si>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</si>
  <si>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</si>
  <si>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</si>
  <si>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</si>
  <si>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</si>
  <si>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</si>
  <si>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</si>
  <si>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</si>
  <si>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</si>
  <si>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</si>
  <si>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</si>
  <si>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</si>
  <si>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</si>
  <si>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</si>
  <si>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</si>
  <si>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</si>
  <si>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</si>
  <si>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</si>
  <si>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</si>
  <si>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</si>
  <si>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</si>
  <si>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</si>
  <si>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</si>
  <si>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</si>
  <si>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</si>
  <si>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</si>
  <si>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</si>
  <si>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</si>
  <si>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</si>
  <si>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</si>
  <si>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</si>
  <si>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</si>
  <si>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</si>
  <si>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</si>
  <si>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</si>
  <si>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</si>
  <si>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</si>
  <si>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</si>
  <si>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</si>
  <si>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</si>
  <si>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</si>
  <si>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</si>
  <si>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</si>
  <si>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</si>
  <si>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</si>
  <si>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</si>
  <si>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</si>
  <si>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</si>
  <si>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</si>
  <si>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</si>
  <si>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</si>
  <si>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</si>
  <si>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</si>
  <si>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</si>
  <si>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</si>
  <si>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</si>
  <si>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</si>
  <si>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</si>
  <si>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</si>
  <si>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</si>
  <si>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</si>
  <si>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</si>
  <si>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</si>
  <si>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</si>
  <si>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</si>
  <si>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</si>
  <si>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</si>
  <si>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</si>
  <si>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</si>
  <si>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</si>
  <si>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</si>
  <si>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</si>
  <si>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</si>
  <si>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</si>
  <si>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</si>
  <si>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</si>
  <si>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</si>
  <si>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</si>
  <si>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</si>
  <si>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</si>
  <si>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</si>
  <si>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</si>
  <si>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</si>
  <si>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</si>
  <si>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</si>
  <si>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</si>
  <si>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</si>
  <si>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</si>
  <si>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</si>
  <si>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</si>
  <si>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</si>
  <si>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</si>
  <si>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</si>
  <si>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</si>
  <si>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</si>
  <si>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</si>
  <si>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</si>
  <si>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</si>
  <si>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</si>
  <si>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</si>
  <si>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</si>
  <si>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</si>
  <si>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</si>
  <si>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</si>
  <si>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</si>
  <si>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</si>
  <si>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</si>
  <si>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</si>
  <si>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</si>
  <si>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</si>
  <si>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</si>
  <si>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</si>
  <si>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</si>
  <si>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</si>
  <si>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</si>
  <si>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</si>
  <si>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</si>
  <si>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</si>
  <si>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</si>
  <si>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</si>
  <si>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</si>
  <si>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</si>
  <si>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</si>
  <si>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</si>
  <si>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</si>
  <si>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</si>
  <si>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</si>
  <si>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</si>
  <si>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</si>
  <si>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</si>
  <si>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</si>
  <si>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</si>
  <si>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</si>
  <si>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</si>
  <si>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</si>
  <si>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</si>
  <si>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</si>
  <si>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</si>
  <si>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</si>
  <si>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</si>
  <si>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</si>
  <si>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</si>
  <si>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</si>
  <si>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</si>
  <si>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</si>
  <si>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</si>
  <si>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</si>
  <si>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</si>
  <si>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</si>
  <si>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</si>
  <si>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</si>
  <si>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</si>
  <si>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</si>
  <si>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</si>
  <si>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</si>
  <si>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</si>
  <si>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</si>
  <si>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</si>
  <si>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</si>
  <si>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</si>
  <si>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</si>
  <si>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</si>
  <si>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</si>
  <si>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</si>
  <si>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</si>
  <si>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</si>
  <si>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</si>
  <si>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</si>
  <si>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</si>
  <si>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</si>
  <si>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</si>
  <si>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</si>
  <si>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</si>
  <si>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</si>
  <si>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</si>
  <si>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</si>
  <si>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</si>
  <si>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</si>
  <si>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</si>
  <si>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</si>
  <si>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</si>
  <si>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</si>
  <si>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</si>
  <si>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</si>
  <si>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</si>
  <si>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</si>
  <si>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</si>
  <si>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</si>
  <si>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</si>
  <si>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</si>
  <si>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</si>
  <si>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</si>
  <si>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</si>
  <si>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</si>
  <si>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</si>
  <si>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</si>
  <si>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</si>
  <si>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</si>
  <si>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</si>
  <si>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</si>
  <si>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</si>
  <si>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</si>
  <si>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</si>
  <si>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</si>
  <si>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</si>
  <si>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</si>
  <si>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</si>
  <si>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</si>
  <si>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</si>
  <si>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</si>
  <si>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</si>
  <si>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</si>
  <si>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</si>
  <si>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</si>
  <si>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</si>
  <si>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</si>
  <si>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</si>
  <si>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</si>
  <si>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</si>
  <si>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</si>
  <si>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</si>
  <si>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</si>
  <si>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</si>
  <si>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</si>
  <si>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</si>
  <si>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</si>
  <si>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</si>
  <si>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</si>
  <si>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</si>
  <si>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</si>
  <si>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</si>
  <si>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</si>
  <si>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</si>
  <si>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</si>
  <si>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</si>
  <si>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</si>
  <si>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</si>
  <si>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</si>
  <si>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</si>
  <si>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</si>
  <si>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</si>
  <si>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</si>
  <si>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</si>
  <si>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</si>
  <si>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</si>
  <si>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</si>
  <si>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</si>
  <si>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</si>
  <si>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</si>
  <si>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</si>
  <si>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</si>
  <si>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</si>
  <si>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</si>
  <si>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</si>
  <si>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</si>
  <si>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</si>
  <si>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</si>
  <si>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</si>
  <si>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</si>
  <si>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</si>
  <si>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</si>
  <si>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</si>
  <si>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</si>
  <si>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</si>
  <si>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</si>
  <si>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</si>
  <si>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</si>
  <si>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</si>
  <si>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</si>
  <si>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</si>
  <si>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</si>
  <si>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</si>
  <si>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</si>
  <si>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</si>
  <si>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</si>
  <si>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</si>
  <si>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</si>
  <si>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</si>
  <si>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</si>
  <si>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</si>
  <si>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</si>
  <si>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</si>
  <si>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</si>
  <si>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</si>
  <si>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</si>
  <si>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</si>
  <si>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</si>
  <si>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</si>
  <si>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</si>
  <si>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</si>
  <si>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</si>
  <si>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</si>
  <si>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</si>
  <si>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</si>
  <si>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</si>
  <si>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</si>
  <si>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</si>
  <si>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</si>
  <si>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</si>
  <si>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</si>
  <si>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</si>
  <si>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</si>
  <si>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</si>
  <si>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</si>
  <si>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</si>
  <si>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</si>
  <si>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</si>
  <si>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</si>
  <si>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</si>
  <si>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</si>
  <si>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</si>
  <si>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</si>
  <si>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</si>
  <si>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</si>
  <si>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</si>
  <si>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</si>
  <si>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</si>
  <si>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</si>
  <si>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</si>
  <si>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</si>
  <si>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</si>
  <si>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</si>
  <si>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</si>
  <si>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</si>
  <si>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</si>
  <si>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</si>
  <si>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</si>
  <si>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</si>
  <si>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</si>
  <si>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</si>
  <si>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</si>
  <si>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</si>
  <si>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</si>
  <si>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</si>
  <si>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</si>
  <si>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</si>
  <si>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</si>
  <si>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</si>
  <si>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</si>
  <si>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</si>
  <si>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</si>
  <si>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</si>
  <si>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</si>
  <si>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</si>
  <si>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</si>
  <si>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</si>
  <si>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</si>
  <si>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</si>
  <si>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</si>
  <si>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</si>
  <si>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</si>
  <si>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</si>
  <si>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</si>
  <si>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</si>
  <si>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</si>
  <si>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</si>
  <si>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</si>
  <si>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</si>
  <si>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</si>
  <si>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</si>
  <si>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</si>
  <si>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</si>
  <si>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</si>
  <si>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</si>
  <si>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</si>
  <si>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</si>
  <si>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</si>
  <si>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</si>
  <si>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</si>
  <si>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</si>
  <si>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</si>
  <si>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</si>
  <si>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</si>
  <si>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</si>
  <si>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</si>
  <si>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</si>
  <si>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</si>
  <si>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</si>
  <si>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</si>
  <si>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</si>
  <si>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</si>
  <si>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</si>
  <si>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</si>
  <si>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</si>
  <si>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</si>
  <si>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</si>
  <si>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</si>
  <si>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</si>
  <si>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</si>
  <si>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</si>
  <si>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</si>
  <si>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</si>
  <si>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</si>
  <si>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</si>
  <si>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</si>
  <si>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</si>
  <si>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</si>
  <si>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</si>
  <si>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</si>
  <si>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</si>
  <si>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</si>
  <si>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</si>
  <si>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</si>
  <si>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</si>
  <si>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</si>
  <si>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</si>
  <si>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</si>
  <si>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</si>
  <si>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</si>
  <si>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</si>
  <si>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</si>
  <si>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</si>
  <si>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</si>
  <si>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</si>
  <si>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</si>
  <si>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</si>
  <si>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</si>
  <si>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</si>
  <si>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</si>
  <si>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</si>
  <si>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</si>
  <si>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</si>
  <si>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</si>
  <si>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</si>
  <si>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</si>
  <si>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</si>
  <si>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</si>
  <si>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</si>
  <si>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</si>
  <si>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</si>
  <si>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</si>
  <si>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</si>
  <si>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</si>
  <si>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</si>
  <si>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</si>
  <si>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</si>
  <si>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</si>
  <si>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</si>
  <si>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</si>
  <si>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</si>
  <si>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</si>
  <si>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</si>
  <si>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</si>
  <si>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</si>
  <si>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</si>
  <si>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</si>
  <si>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</si>
  <si>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</si>
  <si>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</si>
  <si>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</si>
  <si>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</si>
  <si>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</si>
  <si>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</si>
  <si>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</si>
  <si>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</si>
  <si>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</si>
  <si>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</si>
  <si>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</si>
  <si>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</si>
  <si>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</si>
  <si>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</si>
  <si>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</si>
  <si>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</si>
  <si>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</si>
  <si>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</si>
  <si>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</si>
  <si>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</si>
  <si>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</si>
  <si>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</si>
  <si>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</si>
  <si>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</si>
  <si>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</si>
  <si>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</si>
  <si>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</si>
  <si>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</si>
  <si>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</si>
  <si>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</si>
  <si>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</si>
  <si>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</si>
  <si>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</si>
  <si>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</si>
  <si>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</si>
  <si>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</si>
  <si>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</si>
  <si>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</si>
  <si>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</si>
  <si>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</si>
  <si>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</si>
  <si>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</si>
  <si>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</si>
  <si>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</si>
  <si>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</si>
  <si>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</si>
  <si>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</si>
  <si>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</si>
  <si>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</si>
  <si>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</si>
  <si>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</si>
  <si>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</si>
  <si>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</si>
  <si>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</si>
  <si>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</si>
  <si>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</si>
  <si>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</si>
  <si>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</si>
  <si>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</si>
  <si>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</si>
  <si>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</si>
  <si>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</si>
  <si>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</si>
  <si>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</si>
  <si>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</si>
  <si>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</si>
  <si>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</si>
  <si>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</si>
  <si>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</si>
  <si>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</si>
  <si>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</si>
  <si>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</si>
  <si>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</si>
  <si>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</si>
  <si>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</si>
  <si>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</si>
  <si>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</si>
  <si>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</si>
  <si>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</si>
  <si>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</si>
  <si>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</si>
  <si>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</si>
  <si>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</si>
  <si>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</si>
  <si>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</si>
  <si>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</si>
  <si>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</si>
  <si>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</si>
  <si>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</si>
  <si>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</si>
  <si>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</si>
  <si>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</si>
  <si>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</si>
  <si>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</si>
  <si>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</si>
  <si>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</si>
  <si>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</si>
  <si>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</si>
  <si>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</si>
  <si>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</si>
  <si>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</si>
  <si>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</si>
  <si>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</si>
  <si>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</si>
  <si>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</si>
  <si>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</si>
  <si>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</si>
  <si>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</si>
  <si>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</si>
  <si>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</si>
  <si>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</si>
  <si>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</si>
  <si>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</si>
  <si>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</si>
  <si>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</si>
  <si>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</si>
  <si>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</si>
  <si>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</si>
  <si>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</si>
  <si>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</si>
  <si>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</si>
  <si>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</si>
  <si>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</si>
  <si>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</si>
  <si>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</si>
  <si>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</si>
  <si>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</si>
  <si>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</si>
  <si>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</si>
  <si>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</si>
  <si>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</si>
  <si>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</si>
  <si>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</si>
  <si>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</si>
  <si>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</si>
  <si>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</si>
  <si>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</si>
  <si>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</si>
  <si>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</si>
  <si>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</si>
  <si>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</si>
  <si>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</si>
  <si>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</si>
  <si>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</si>
  <si>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</si>
  <si>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</si>
  <si>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</si>
  <si>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</si>
  <si>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</si>
  <si>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</si>
  <si>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</si>
  <si>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</si>
  <si>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</si>
  <si>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</si>
  <si>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</si>
  <si>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</si>
  <si>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</si>
  <si>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</si>
  <si>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</si>
  <si>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</si>
  <si>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</si>
  <si>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</si>
  <si>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</si>
  <si>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</si>
  <si>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</si>
  <si>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</si>
  <si>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</si>
  <si>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</si>
  <si>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</si>
  <si>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</si>
  <si>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</si>
  <si>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</si>
  <si>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</si>
  <si>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</si>
  <si>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</si>
  <si>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</si>
  <si>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</si>
  <si>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</si>
  <si>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</si>
  <si>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</si>
  <si>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</si>
  <si>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</si>
  <si>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</si>
  <si>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</si>
  <si>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</si>
  <si>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</si>
  <si>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</si>
  <si>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</si>
  <si>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</si>
  <si>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</si>
  <si>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</si>
  <si>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</si>
  <si>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</si>
  <si>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</si>
  <si>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</si>
  <si>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</si>
  <si>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</si>
  <si>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</si>
  <si>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</si>
  <si>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</si>
  <si>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</si>
  <si>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</si>
  <si>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</si>
  <si>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</si>
  <si>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</si>
  <si>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</si>
  <si>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</si>
  <si>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</si>
  <si>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</si>
  <si>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</si>
  <si>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</si>
  <si>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</si>
  <si>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</si>
  <si>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</si>
  <si>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</si>
  <si>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</si>
  <si>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</si>
  <si>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</si>
  <si>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</si>
  <si>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</si>
  <si>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</si>
  <si>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</si>
  <si>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</si>
  <si>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</si>
  <si>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</si>
  <si>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</si>
  <si>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</si>
  <si>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</si>
  <si>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</si>
  <si>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</si>
  <si>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</si>
  <si>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</si>
  <si>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</si>
  <si>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</si>
  <si>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</si>
  <si>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</si>
  <si>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</si>
  <si>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</si>
  <si>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</si>
  <si>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</si>
  <si>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</si>
  <si>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</si>
  <si>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</si>
  <si>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</si>
  <si>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</si>
  <si>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</si>
  <si>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</si>
  <si>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</si>
  <si>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</si>
  <si>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</si>
  <si>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</si>
  <si>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</si>
  <si>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</si>
  <si>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</si>
  <si>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</si>
  <si>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</si>
  <si>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</si>
  <si>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</si>
  <si>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</si>
  <si>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</si>
  <si>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</si>
  <si>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</si>
  <si>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</si>
  <si>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</si>
  <si>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</si>
  <si>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</si>
  <si>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</si>
  <si>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</si>
  <si>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</si>
  <si>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</si>
  <si>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</si>
  <si>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</si>
  <si>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</si>
  <si>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</si>
  <si>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</si>
  <si>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</si>
  <si>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</si>
  <si>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</si>
  <si>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</si>
  <si>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</si>
  <si>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</si>
  <si>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</si>
  <si>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</si>
  <si>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</si>
  <si>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</si>
  <si>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</si>
  <si>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</si>
  <si>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</si>
  <si>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</si>
  <si>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</si>
  <si>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</si>
  <si>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</si>
  <si>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</si>
  <si>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</si>
  <si>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</si>
  <si>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</si>
  <si>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</si>
  <si>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</si>
  <si>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</si>
  <si>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</si>
  <si>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</si>
  <si>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</si>
  <si>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</si>
  <si>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</si>
  <si>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</si>
  <si>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</si>
  <si>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</si>
  <si>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</si>
  <si>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</si>
  <si>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</si>
  <si>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</si>
  <si>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</si>
  <si>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</si>
  <si>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</si>
  <si>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</si>
  <si>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</si>
  <si>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</si>
  <si>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</si>
  <si>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</si>
  <si>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</si>
  <si>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</si>
  <si>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</si>
  <si>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</si>
  <si>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</si>
  <si>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</si>
  <si>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</si>
  <si>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</si>
  <si>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</si>
  <si>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</si>
  <si>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</si>
  <si>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</si>
  <si>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</si>
  <si>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</si>
  <si>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</si>
  <si>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</si>
  <si>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</si>
  <si>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</si>
  <si>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</si>
  <si>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</si>
  <si>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</si>
  <si>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</si>
  <si>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</si>
  <si>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</si>
  <si>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</si>
  <si>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</si>
  <si>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</si>
  <si>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</si>
  <si>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</si>
  <si>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</si>
  <si>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</si>
  <si>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</si>
  <si>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</si>
  <si>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</si>
  <si>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</si>
  <si>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</si>
  <si>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</si>
  <si>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</si>
  <si>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</si>
  <si>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</si>
  <si>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</si>
  <si>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</si>
  <si>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</si>
  <si>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</si>
  <si>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</si>
  <si>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</si>
  <si>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</si>
  <si>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</si>
  <si>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</si>
  <si>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</si>
  <si>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</si>
  <si>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</si>
  <si>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</si>
  <si>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</si>
  <si>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</si>
  <si>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</si>
  <si>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</si>
  <si>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</si>
  <si>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</si>
  <si>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</si>
  <si>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</si>
  <si>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</si>
  <si>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</si>
  <si>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</si>
  <si>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</si>
  <si>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</si>
  <si>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</si>
  <si>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</si>
  <si>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</si>
  <si>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</si>
  <si>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</si>
  <si>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</si>
  <si>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</si>
  <si>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</si>
  <si>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</si>
  <si>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</si>
  <si>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</si>
  <si>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</si>
  <si>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</si>
  <si>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</si>
  <si>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</si>
  <si>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</si>
  <si>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</si>
  <si>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</si>
  <si>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</si>
  <si>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</si>
  <si>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</si>
  <si>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</si>
  <si>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</si>
  <si>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</si>
  <si>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</si>
  <si>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</si>
  <si>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</si>
  <si>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</si>
  <si>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</si>
  <si>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</si>
  <si>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</si>
  <si>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</si>
  <si>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</si>
  <si>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</si>
  <si>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</si>
  <si>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</si>
  <si>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</si>
  <si>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</si>
  <si>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</si>
  <si>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</si>
  <si>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</si>
  <si>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</si>
  <si>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</si>
  <si>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</si>
  <si>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</si>
  <si>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</si>
  <si>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</si>
  <si>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</si>
  <si>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</si>
  <si>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</si>
  <si>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</si>
  <si>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</si>
  <si>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</si>
  <si>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</si>
  <si>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</si>
  <si>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</si>
  <si>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</si>
  <si>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</si>
  <si>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</si>
  <si>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</si>
  <si>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</si>
  <si>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</si>
  <si>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</si>
  <si>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</si>
  <si>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</si>
  <si>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</si>
  <si>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</si>
  <si>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</si>
  <si>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</si>
  <si>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</si>
  <si>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</si>
  <si>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</si>
  <si>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</si>
  <si>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</si>
  <si>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</si>
  <si>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</si>
  <si>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</si>
  <si>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</si>
  <si>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</si>
  <si>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</si>
  <si>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</si>
  <si>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</si>
  <si>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</si>
  <si>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</si>
  <si>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</si>
  <si>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</si>
  <si>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</si>
  <si>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</si>
  <si>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</si>
  <si>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</si>
  <si>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</si>
  <si>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</si>
  <si>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</si>
  <si>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</si>
  <si>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</si>
  <si>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</si>
  <si>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</si>
  <si>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</si>
  <si>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</si>
  <si>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</si>
  <si>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</si>
  <si>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</si>
  <si>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</si>
  <si>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</si>
  <si>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</si>
  <si>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</si>
  <si>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</si>
  <si>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</si>
  <si>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</si>
  <si>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</si>
  <si>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</si>
  <si>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</si>
  <si>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</si>
  <si>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</si>
  <si>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</si>
  <si>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</si>
  <si>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</si>
  <si>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</si>
  <si>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</si>
  <si>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</si>
  <si>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</si>
  <si>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</si>
  <si>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</si>
  <si>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</si>
  <si>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</si>
  <si>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</si>
  <si>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</si>
  <si>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</si>
  <si>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</si>
  <si>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</si>
  <si>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</si>
  <si>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</si>
  <si>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</si>
  <si>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</si>
  <si>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</si>
  <si>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</si>
  <si>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</si>
  <si>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</si>
  <si>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</si>
  <si>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</si>
  <si>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</si>
  <si>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</si>
  <si>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</si>
  <si>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</si>
  <si>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</si>
  <si>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</si>
  <si>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</si>
  <si>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</si>
  <si>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</si>
  <si>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</si>
  <si>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</si>
  <si>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</si>
  <si>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</si>
  <si>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</si>
  <si>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</si>
  <si>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</si>
  <si>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</si>
  <si>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</si>
  <si>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</si>
  <si>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</si>
  <si>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</si>
  <si>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</si>
  <si>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</si>
  <si>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</si>
  <si>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</si>
  <si>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</si>
  <si>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</si>
  <si>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</si>
  <si>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</si>
  <si>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</si>
  <si>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</si>
  <si>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</si>
  <si>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</si>
  <si>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</si>
  <si>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</si>
  <si>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</si>
  <si>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</si>
  <si>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</si>
  <si>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</si>
  <si>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</si>
  <si>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</si>
  <si>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</si>
  <si>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</si>
  <si>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</si>
  <si>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</si>
  <si>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</si>
  <si>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</si>
  <si>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</si>
  <si>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</si>
  <si>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</si>
  <si>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</si>
  <si>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</si>
  <si>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</si>
  <si>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</si>
  <si>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</si>
  <si>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</si>
  <si>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</si>
  <si>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</si>
  <si>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</si>
  <si>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</si>
  <si>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</si>
  <si>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</si>
  <si>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</si>
  <si>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</si>
  <si>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</si>
  <si>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</si>
  <si>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</si>
  <si>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</si>
  <si>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</si>
  <si>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</si>
  <si>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</si>
  <si>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</si>
  <si>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</si>
  <si>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</si>
  <si>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</si>
  <si>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</si>
  <si>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</si>
  <si>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</si>
  <si>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</si>
  <si>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</si>
  <si>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</si>
  <si>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</si>
  <si>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</si>
  <si>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</si>
  <si>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</si>
  <si>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</si>
  <si>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</si>
  <si>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</si>
  <si>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</si>
  <si>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</si>
  <si>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</si>
  <si>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</si>
  <si>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</si>
  <si>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</si>
  <si>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</si>
  <si>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</si>
  <si>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</si>
  <si>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</si>
  <si>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</si>
  <si>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</si>
  <si>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</si>
  <si>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</si>
  <si>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</si>
  <si>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</si>
  <si>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</si>
  <si>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</si>
  <si>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</si>
  <si>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</si>
  <si>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</si>
  <si>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</si>
  <si>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</si>
  <si>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</si>
  <si>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</si>
  <si>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</si>
  <si>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</si>
  <si>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</si>
  <si>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</si>
  <si>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</si>
  <si>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</si>
  <si>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</si>
  <si>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</si>
  <si>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</si>
  <si>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</si>
  <si>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</si>
  <si>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</si>
  <si>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</si>
  <si>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</si>
  <si>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</si>
  <si>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</si>
  <si>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</si>
  <si>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</si>
  <si>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</si>
  <si>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</si>
  <si>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</si>
  <si>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</si>
  <si>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</si>
  <si>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</si>
  <si>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</si>
  <si>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</si>
  <si>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</si>
  <si>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</si>
  <si>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</si>
  <si>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</si>
  <si>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</si>
  <si>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</si>
  <si>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</si>
  <si>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</si>
  <si>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</si>
  <si>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</si>
  <si>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</si>
  <si>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</si>
  <si>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</si>
  <si>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</si>
  <si>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</si>
  <si>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</si>
  <si>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</si>
  <si>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</si>
  <si>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</si>
  <si>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</si>
  <si>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</si>
  <si>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</si>
  <si>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</si>
  <si>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</si>
  <si>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</si>
  <si>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</si>
  <si>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</si>
  <si>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</si>
  <si>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</si>
  <si>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</si>
  <si>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</si>
  <si>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</si>
  <si>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</si>
  <si>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</si>
  <si>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</si>
  <si>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</si>
  <si>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</si>
  <si>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</si>
  <si>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</si>
  <si>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</si>
  <si>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</si>
  <si>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</si>
  <si>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</si>
  <si>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</si>
  <si>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</si>
  <si>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</si>
  <si>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</si>
  <si>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</si>
  <si>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</si>
  <si>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</si>
  <si>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</si>
  <si>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</si>
  <si>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</si>
  <si>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</si>
  <si>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</si>
  <si>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</si>
  <si>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</si>
  <si>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</si>
  <si>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</si>
  <si>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</si>
  <si>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</si>
  <si>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</si>
  <si>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</si>
  <si>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</si>
  <si>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</si>
  <si>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</si>
  <si>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</si>
  <si>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</si>
  <si>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</si>
  <si>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</si>
  <si>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</si>
  <si>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</si>
  <si>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</si>
  <si>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</si>
  <si>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</si>
  <si>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</si>
  <si>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</si>
  <si>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</si>
  <si>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</si>
  <si>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</si>
  <si>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</si>
  <si>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</si>
  <si>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</si>
  <si>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</si>
  <si>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</si>
  <si>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</si>
  <si>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</si>
  <si>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</si>
  <si>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</si>
  <si>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</si>
  <si>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</si>
  <si>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</si>
  <si>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</si>
  <si>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</si>
  <si>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</si>
  <si>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</si>
  <si>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</si>
  <si>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</si>
  <si>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</si>
  <si>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</si>
  <si>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</si>
  <si>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</si>
  <si>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</si>
  <si>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</si>
  <si>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</si>
  <si>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</si>
  <si>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</si>
  <si>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</si>
  <si>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</si>
  <si>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</si>
  <si>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</si>
  <si>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</si>
  <si>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</si>
  <si>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</si>
  <si>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</si>
  <si>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</si>
  <si>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</si>
  <si>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</si>
  <si>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</si>
  <si>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</si>
  <si>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</si>
  <si>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</si>
  <si>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</si>
  <si>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</si>
  <si>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</si>
  <si>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</si>
  <si>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</si>
  <si>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</si>
  <si>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</si>
  <si>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</si>
  <si>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</si>
  <si>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</si>
  <si>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</si>
  <si>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</si>
  <si>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</si>
  <si>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</si>
  <si>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</si>
  <si>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</si>
  <si>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</si>
  <si>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</si>
  <si>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</si>
  <si>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</si>
  <si>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</si>
  <si>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</si>
  <si>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</si>
  <si>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</si>
  <si>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</si>
  <si>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</si>
  <si>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</si>
  <si>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</si>
  <si>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</si>
  <si>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</si>
  <si>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</si>
  <si>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</si>
  <si>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</si>
  <si>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</si>
  <si>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</si>
  <si>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</si>
  <si>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</si>
  <si>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</si>
  <si>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</si>
  <si>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</si>
  <si>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</si>
  <si>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</si>
  <si>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</si>
  <si>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</si>
  <si>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</si>
  <si>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</si>
  <si>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</si>
  <si>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</si>
  <si>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</si>
  <si>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</si>
  <si>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</si>
  <si>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</si>
  <si>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</si>
  <si>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</si>
  <si>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</si>
  <si>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</si>
  <si>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</si>
  <si>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</si>
  <si>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</si>
  <si>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</si>
  <si>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</si>
  <si>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</si>
  <si>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</si>
  <si>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</si>
  <si>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</si>
  <si>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</si>
  <si>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</si>
  <si>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</si>
  <si>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</si>
  <si>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</si>
  <si>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</si>
  <si>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</si>
  <si>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</si>
  <si>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</si>
  <si>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</si>
  <si>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</si>
  <si>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</si>
  <si>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</si>
  <si>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</si>
  <si>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</si>
  <si>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</si>
  <si>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</si>
  <si>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</si>
  <si>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</si>
  <si>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</si>
  <si>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</si>
  <si>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</si>
  <si>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</si>
  <si>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</si>
  <si>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</si>
  <si>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</si>
  <si>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</si>
  <si>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</si>
  <si>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</si>
  <si>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</si>
  <si>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</si>
  <si>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</si>
  <si>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</si>
  <si>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</si>
  <si>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</si>
  <si>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</si>
  <si>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</si>
  <si>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</si>
  <si>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</si>
  <si>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</si>
  <si>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</si>
  <si>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</si>
  <si>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</si>
  <si>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</si>
  <si>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</si>
  <si>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</si>
  <si>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</si>
  <si>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</si>
  <si>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</si>
  <si>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</si>
  <si>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</si>
  <si>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</si>
  <si>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</si>
  <si>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</si>
  <si>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</si>
  <si>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</si>
  <si>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</si>
  <si>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</si>
  <si>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</si>
  <si>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</si>
  <si>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</si>
  <si>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</si>
  <si>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</si>
  <si>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</si>
  <si>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</si>
  <si>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</si>
  <si>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</si>
  <si>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</si>
  <si>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</si>
  <si>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</si>
  <si>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</si>
  <si>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</si>
  <si>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</si>
  <si>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</si>
  <si>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</si>
  <si>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</si>
  <si>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</si>
  <si>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</si>
  <si>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</si>
  <si>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</si>
  <si>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</si>
  <si>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</si>
  <si>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</si>
  <si>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</si>
  <si>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</si>
  <si>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</si>
  <si>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</si>
  <si>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</si>
  <si>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</si>
  <si>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</si>
  <si>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</si>
  <si>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</si>
  <si>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</si>
  <si>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</si>
  <si>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</si>
  <si>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</si>
  <si>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</si>
  <si>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</si>
  <si>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</si>
  <si>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</si>
  <si>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</si>
  <si>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</si>
  <si>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</si>
  <si>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</si>
  <si>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</si>
  <si>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</si>
  <si>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</si>
  <si>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</si>
  <si>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</si>
  <si>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</si>
  <si>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</si>
  <si>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</si>
  <si>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</si>
  <si>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</si>
  <si>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</si>
  <si>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</si>
  <si>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</si>
  <si>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</si>
  <si>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</si>
  <si>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</si>
  <si>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</si>
  <si>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</si>
  <si>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</si>
  <si>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</si>
  <si>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</si>
  <si>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</si>
  <si>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</si>
  <si>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</si>
  <si>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</si>
  <si>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</si>
  <si>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</si>
  <si>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</si>
  <si>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</si>
  <si>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</si>
  <si>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</si>
  <si>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</si>
  <si>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</si>
  <si>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</si>
  <si>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</si>
  <si>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</si>
  <si>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</si>
  <si>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</si>
  <si>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</si>
  <si>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</si>
  <si>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</si>
  <si>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</si>
  <si>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</si>
  <si>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</si>
  <si>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</si>
  <si>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</si>
  <si>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</si>
  <si>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</si>
  <si>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</si>
  <si>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</si>
  <si>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</si>
  <si>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</si>
  <si>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</si>
  <si>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</si>
  <si>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</si>
  <si>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</si>
  <si>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</si>
  <si>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</si>
  <si>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</si>
  <si>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</si>
  <si>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</si>
  <si>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</si>
  <si>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</si>
  <si>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</si>
  <si>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</si>
  <si>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</si>
  <si>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</si>
  <si>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</si>
  <si>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</si>
  <si>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</si>
  <si>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</si>
  <si>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</si>
  <si>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</si>
  <si>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</si>
  <si>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</si>
  <si>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</si>
  <si>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</si>
  <si>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</si>
  <si>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</si>
  <si>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</si>
  <si>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</si>
  <si>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</si>
  <si>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</si>
  <si>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</si>
  <si>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</si>
  <si>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</si>
  <si>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</si>
  <si>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</si>
  <si>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</si>
  <si>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</si>
  <si>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</si>
  <si>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</si>
  <si>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</si>
  <si>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</si>
  <si>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</si>
  <si>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</si>
  <si>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</si>
  <si>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</si>
  <si>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</si>
  <si>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</si>
  <si>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</si>
  <si>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</si>
  <si>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</si>
  <si>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</si>
  <si>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</si>
  <si>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</si>
  <si>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</si>
  <si>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</si>
  <si>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</si>
  <si>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</si>
  <si>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</si>
  <si>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</si>
  <si>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</si>
  <si>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</si>
  <si>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</si>
  <si>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</si>
  <si>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</si>
  <si>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</si>
  <si>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</si>
  <si>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</si>
  <si>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</si>
  <si>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</si>
  <si>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</si>
  <si>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</si>
  <si>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</si>
  <si>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</si>
  <si>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</si>
  <si>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</si>
  <si>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</si>
  <si>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</si>
  <si>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</si>
  <si>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</si>
  <si>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</si>
  <si>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</si>
  <si>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</si>
  <si>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</si>
  <si>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</si>
  <si>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</si>
  <si>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</si>
  <si>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</si>
  <si>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</si>
  <si>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</si>
  <si>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</si>
  <si>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</si>
  <si>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</si>
  <si>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</si>
  <si>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</si>
  <si>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</si>
  <si>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</si>
  <si>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</si>
  <si>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</si>
  <si>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</si>
  <si>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</si>
  <si>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</si>
  <si>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</si>
  <si>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</si>
  <si>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</si>
  <si>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</si>
  <si>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</si>
  <si>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</si>
  <si>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</si>
  <si>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</si>
  <si>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</si>
  <si>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</si>
  <si>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</si>
  <si>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</si>
  <si>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</si>
  <si>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</si>
  <si>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</si>
  <si>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</si>
  <si>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</si>
  <si>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</si>
  <si>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</si>
  <si>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</si>
  <si>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</si>
  <si>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</si>
  <si>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</si>
  <si>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</si>
  <si>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</si>
  <si>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</si>
  <si>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</si>
  <si>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</si>
  <si>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</si>
  <si>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</si>
  <si>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</si>
  <si>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</si>
  <si>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</si>
  <si>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</si>
  <si>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</si>
  <si>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</si>
  <si>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</si>
  <si>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</si>
  <si>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</si>
  <si>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</si>
  <si>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</si>
  <si>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</si>
  <si>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</si>
  <si>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</si>
  <si>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</si>
  <si>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</si>
  <si>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</si>
  <si>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</si>
  <si>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</si>
  <si>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</si>
  <si>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</si>
  <si>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</si>
  <si>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</si>
  <si>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</si>
  <si>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</si>
  <si>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</si>
  <si>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</si>
  <si>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</si>
  <si>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</si>
  <si>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</si>
  <si>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</si>
  <si>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</si>
  <si>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</si>
  <si>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</si>
  <si>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</si>
  <si>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</si>
  <si>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</si>
  <si>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</si>
  <si>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</si>
  <si>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</si>
  <si>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</si>
  <si>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</si>
  <si>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</si>
  <si>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</si>
  <si>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</si>
  <si>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</si>
  <si>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</si>
  <si>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</si>
  <si>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</si>
  <si>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</si>
  <si>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</si>
  <si>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</si>
  <si>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</si>
  <si>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</si>
  <si>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</si>
  <si>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</si>
  <si>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</si>
  <si>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</si>
  <si>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</si>
  <si>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</si>
  <si>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</si>
  <si>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</si>
  <si>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</si>
  <si>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</si>
  <si>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</si>
  <si>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</si>
  <si>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</si>
  <si>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</si>
  <si>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</si>
  <si>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</si>
  <si>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</si>
  <si>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</si>
  <si>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</si>
  <si>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</si>
  <si>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</si>
  <si>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</si>
  <si>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</si>
  <si>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</si>
  <si>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</si>
  <si>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</si>
  <si>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</si>
  <si>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</si>
  <si>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</si>
  <si>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</si>
  <si>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</si>
  <si>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</si>
  <si>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</si>
  <si>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</si>
  <si>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</si>
  <si>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</si>
  <si>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</si>
  <si>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</si>
  <si>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</si>
  <si>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</si>
  <si>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</si>
  <si>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</si>
  <si>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</si>
  <si>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</si>
  <si>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</si>
  <si>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</si>
  <si>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</si>
  <si>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</si>
  <si>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</si>
  <si>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</si>
  <si>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</si>
  <si>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</si>
  <si>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</si>
  <si>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</si>
  <si>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</si>
  <si>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</si>
  <si>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</si>
  <si>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</si>
  <si>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</si>
  <si>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</si>
  <si>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</si>
  <si>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</si>
  <si>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</si>
  <si>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</si>
  <si>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</si>
  <si>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</si>
  <si>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</si>
  <si>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</si>
  <si>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</si>
  <si>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</si>
  <si>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</si>
  <si>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</si>
  <si>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</si>
  <si>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</si>
  <si>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</si>
  <si>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</si>
  <si>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</si>
  <si>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</si>
  <si>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</si>
  <si>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</si>
  <si>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</si>
  <si>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</si>
  <si>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</si>
  <si>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</si>
  <si>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</si>
  <si>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</si>
  <si>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</si>
  <si>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</si>
  <si>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</si>
  <si>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</si>
  <si>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</si>
  <si>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</si>
  <si>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</si>
  <si>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</si>
  <si>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</si>
  <si>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</si>
  <si>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</si>
  <si>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</si>
  <si>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</si>
  <si>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</si>
  <si>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</si>
  <si>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</si>
  <si>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</si>
  <si>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</si>
  <si>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</si>
  <si>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</si>
  <si>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</si>
  <si>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</si>
  <si>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</si>
  <si>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</si>
  <si>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</si>
  <si>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</si>
  <si>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</si>
  <si>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</si>
  <si>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</si>
  <si>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</si>
  <si>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</si>
  <si>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</si>
  <si>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</si>
  <si>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</si>
  <si>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</si>
  <si>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</si>
  <si>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</si>
  <si>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</si>
  <si>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</si>
  <si>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</si>
  <si>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</si>
  <si>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</si>
  <si>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</si>
  <si>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</si>
  <si>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</si>
  <si>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</si>
  <si>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</si>
  <si>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</si>
  <si>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</si>
  <si>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</si>
  <si>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</si>
  <si>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</si>
  <si>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</si>
  <si>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</si>
  <si>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</si>
  <si>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</si>
  <si>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</si>
  <si>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</si>
  <si>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</si>
  <si>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</si>
  <si>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</si>
  <si>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</si>
  <si>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</si>
  <si>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</si>
  <si>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</si>
  <si>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</si>
  <si>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</si>
  <si>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</si>
  <si>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</si>
  <si>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</si>
  <si>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</si>
  <si>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</si>
  <si>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</si>
  <si>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</si>
  <si>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</si>
  <si>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</si>
  <si>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</si>
  <si>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</si>
  <si>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</si>
  <si>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</si>
  <si>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</si>
  <si>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</si>
  <si>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</si>
  <si>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</si>
  <si>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</si>
  <si>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</si>
  <si>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</si>
  <si>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</si>
  <si>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</si>
  <si>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</si>
  <si>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</si>
  <si>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</si>
  <si>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</si>
  <si>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</si>
  <si>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</si>
  <si>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</si>
  <si>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</si>
  <si>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</si>
  <si>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</si>
  <si>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</si>
  <si>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</si>
  <si>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</si>
  <si>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</si>
  <si>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</si>
  <si>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</si>
  <si>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</si>
  <si>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</si>
  <si>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</si>
  <si>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</si>
  <si>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</si>
  <si>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</si>
  <si>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</si>
  <si>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</si>
  <si>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</si>
  <si>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</si>
  <si>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</si>
  <si>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</si>
  <si>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</si>
  <si>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</si>
  <si>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</si>
  <si>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</si>
  <si>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</si>
  <si>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</si>
  <si>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</si>
  <si>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</si>
  <si>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</si>
  <si>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</si>
  <si>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</si>
  <si>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</si>
  <si>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</si>
  <si>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</si>
  <si>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</si>
  <si>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</si>
  <si>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</si>
  <si>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</si>
  <si>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</si>
  <si>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</si>
  <si>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</si>
  <si>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</si>
  <si>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</si>
  <si>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</si>
  <si>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</si>
  <si>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</si>
  <si>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</si>
  <si>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</si>
  <si>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</si>
  <si>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</si>
  <si>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</si>
  <si>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</si>
  <si>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</si>
  <si>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</si>
  <si>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</si>
  <si>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</si>
  <si>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</si>
  <si>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</si>
  <si>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</si>
  <si>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</si>
  <si>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</si>
  <si>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</si>
  <si>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</si>
  <si>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</si>
  <si>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</si>
  <si>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</si>
  <si>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</si>
  <si>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</si>
  <si>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</si>
  <si>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</si>
  <si>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</si>
  <si>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</si>
  <si>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</si>
  <si>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</si>
  <si>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</si>
  <si>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</si>
  <si>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</si>
  <si>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</si>
  <si>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</si>
  <si>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</si>
  <si>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</si>
  <si>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</si>
  <si>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</si>
  <si>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</si>
  <si>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</si>
  <si>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</si>
  <si>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</si>
  <si>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</si>
  <si>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</si>
  <si>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</si>
  <si>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</si>
  <si>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</si>
  <si>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</si>
  <si>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</si>
  <si>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</si>
  <si>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</si>
  <si>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</si>
  <si>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</si>
  <si>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</si>
  <si>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</si>
  <si>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</si>
  <si>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</si>
  <si>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</si>
  <si>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</si>
  <si>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</si>
  <si>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</si>
  <si>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</si>
  <si>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</si>
  <si>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</si>
  <si>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</si>
  <si>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</si>
  <si>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</si>
  <si>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</si>
  <si>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</si>
  <si>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</si>
  <si>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</si>
  <si>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</si>
  <si>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</si>
  <si>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</si>
  <si>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</si>
  <si>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</si>
  <si>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</si>
  <si>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</si>
  <si>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</si>
  <si>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</si>
  <si>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</si>
  <si>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</si>
  <si>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</si>
  <si>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</si>
  <si>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</si>
  <si>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</si>
  <si>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</si>
  <si>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</si>
  <si>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</si>
  <si>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</si>
  <si>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</si>
  <si>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</si>
  <si>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</si>
  <si>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</si>
  <si>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</si>
  <si>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</si>
  <si>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</si>
  <si>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</si>
  <si>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</si>
  <si>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</si>
  <si>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</si>
  <si>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</si>
  <si>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</si>
  <si>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</si>
  <si>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</si>
  <si>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</si>
  <si>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</si>
  <si>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</si>
  <si>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</si>
  <si>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</si>
  <si>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</si>
  <si>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</si>
  <si>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</si>
  <si>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</si>
  <si>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</si>
  <si>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</si>
  <si>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</si>
  <si>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</si>
  <si>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</si>
  <si>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</si>
  <si>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</si>
  <si>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</si>
  <si>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</si>
  <si>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</si>
  <si>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</si>
  <si>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</si>
  <si>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</si>
  <si>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</si>
  <si>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</si>
  <si>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</si>
  <si>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</si>
  <si>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</si>
  <si>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</si>
  <si>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</si>
  <si>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</si>
  <si>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</si>
  <si>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</si>
  <si>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</si>
  <si>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</si>
  <si>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</si>
  <si>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</si>
  <si>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</si>
  <si>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</si>
  <si>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</si>
  <si>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</si>
  <si>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</si>
  <si>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</si>
  <si>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</si>
  <si>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</si>
  <si>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</si>
  <si>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</si>
  <si>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</si>
  <si>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</si>
  <si>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</si>
  <si>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</si>
  <si>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</si>
  <si>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</si>
  <si>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</si>
  <si>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</si>
  <si>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</si>
  <si>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</si>
  <si>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</si>
  <si>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</si>
  <si>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</si>
  <si>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</si>
  <si>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</si>
  <si>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</si>
  <si>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</si>
  <si>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</si>
  <si>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</si>
  <si>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</si>
  <si>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</si>
  <si>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</si>
  <si>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</si>
  <si>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</si>
  <si>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</si>
  <si>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</si>
  <si>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</si>
  <si>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</si>
  <si>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</si>
  <si>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</si>
  <si>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</si>
  <si>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</si>
  <si>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</si>
  <si>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</si>
  <si>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</si>
  <si>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</si>
  <si>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</si>
  <si>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</si>
  <si>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</si>
  <si>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</si>
  <si>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</si>
  <si>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</si>
  <si>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</si>
  <si>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</si>
  <si>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</si>
  <si>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</si>
  <si>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</si>
  <si>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</si>
  <si>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</si>
  <si>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</si>
  <si>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</si>
  <si>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</si>
  <si>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</si>
  <si>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</si>
  <si>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</si>
  <si>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</si>
  <si>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</si>
  <si>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</si>
  <si>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</si>
  <si>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</si>
  <si>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</si>
  <si>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</si>
  <si>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</si>
  <si>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</si>
  <si>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</si>
  <si>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</si>
  <si>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</si>
  <si>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</si>
  <si>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</si>
  <si>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</si>
  <si>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</si>
  <si>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</si>
  <si>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</si>
  <si>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</si>
  <si>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</si>
  <si>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</si>
  <si>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</si>
  <si>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</si>
  <si>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</si>
  <si>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</si>
  <si>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</si>
  <si>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</si>
  <si>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</si>
  <si>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</si>
  <si>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</si>
  <si>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</si>
  <si>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</si>
  <si>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</si>
  <si>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</si>
  <si>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</si>
  <si>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</si>
  <si>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</si>
  <si>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</si>
  <si>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</si>
  <si>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</si>
  <si>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</si>
  <si>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</si>
  <si>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</si>
  <si>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</si>
  <si>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</si>
  <si>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</si>
  <si>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</si>
  <si>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</si>
  <si>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</si>
  <si>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</si>
  <si>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</si>
  <si>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</si>
  <si>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</si>
  <si>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</si>
  <si>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</si>
  <si>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</si>
  <si>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</si>
  <si>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</si>
  <si>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</si>
  <si>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</si>
  <si>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</si>
  <si>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</si>
  <si>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</si>
  <si>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</si>
  <si>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</si>
  <si>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</si>
  <si>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</si>
  <si>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</si>
  <si>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</si>
  <si>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</si>
  <si>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</si>
  <si>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</si>
  <si>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</si>
  <si>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</si>
  <si>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</si>
  <si>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</si>
  <si>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</si>
  <si>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</si>
  <si>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</si>
  <si>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</si>
  <si>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</si>
  <si>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</si>
  <si>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</si>
  <si>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</si>
  <si>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</si>
  <si>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</si>
  <si>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</si>
  <si>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</si>
  <si>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</si>
  <si>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</si>
  <si>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</si>
  <si>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</si>
  <si>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</si>
  <si>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</si>
  <si>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</si>
  <si>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</si>
  <si>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</si>
  <si>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</si>
  <si>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</si>
  <si>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</si>
  <si>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</si>
  <si>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</si>
  <si>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</si>
  <si>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</si>
  <si>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</si>
  <si>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</si>
  <si>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</si>
  <si>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</si>
  <si>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</si>
  <si>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</si>
  <si>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</si>
  <si>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</si>
  <si>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</si>
  <si>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</si>
  <si>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</si>
  <si>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</si>
  <si>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</si>
  <si>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</si>
  <si>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</si>
  <si>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</si>
  <si>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</si>
  <si>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</si>
  <si>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</si>
  <si>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</si>
  <si>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</si>
  <si>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</si>
  <si>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</si>
  <si>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</si>
  <si>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</si>
  <si>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</si>
  <si>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</si>
  <si>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</si>
  <si>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</si>
  <si>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</si>
  <si>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</si>
  <si>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</si>
  <si>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</si>
  <si>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</si>
  <si>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</si>
  <si>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</si>
  <si>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</si>
  <si>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</si>
  <si>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</si>
  <si>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</si>
  <si>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</si>
  <si>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</si>
  <si>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</si>
  <si>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</si>
  <si>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</si>
  <si>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</si>
  <si>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</si>
  <si>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</si>
  <si>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</si>
  <si>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</si>
  <si>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</si>
  <si>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</si>
  <si>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</si>
  <si>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</si>
  <si>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</si>
  <si>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</si>
  <si>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</si>
  <si>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</si>
  <si>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</si>
  <si>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</si>
  <si>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</si>
  <si>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</si>
  <si>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</si>
  <si>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</si>
  <si>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</si>
  <si>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</si>
  <si>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</si>
  <si>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</si>
  <si>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</si>
  <si>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</si>
  <si>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</si>
  <si>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</si>
  <si>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</si>
  <si>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</si>
  <si>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</si>
  <si>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</si>
  <si>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</si>
  <si>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</si>
  <si>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</si>
  <si>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</si>
  <si>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</si>
  <si>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</si>
  <si>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</si>
  <si>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</si>
  <si>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</si>
  <si>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</si>
  <si>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</si>
  <si>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</si>
  <si>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</si>
  <si>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</si>
  <si>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</si>
  <si>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</si>
  <si>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</si>
  <si>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</si>
  <si>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</si>
  <si>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</si>
  <si>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</si>
  <si>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</si>
  <si>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</si>
  <si>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</si>
  <si>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</si>
  <si>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</si>
  <si>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</si>
  <si>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</si>
  <si>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</si>
  <si>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</si>
  <si>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</si>
  <si>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</si>
  <si>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</si>
  <si>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</si>
  <si>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</si>
  <si>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</si>
  <si>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</si>
  <si>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</si>
  <si>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</si>
  <si>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</si>
  <si>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</si>
  <si>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</si>
  <si>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</si>
  <si>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</si>
  <si>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</si>
  <si>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</si>
  <si>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</si>
  <si>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</si>
  <si>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</si>
  <si>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</si>
  <si>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</si>
  <si>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</si>
  <si>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</si>
  <si>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</si>
  <si>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</si>
  <si>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</si>
  <si>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</si>
  <si>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</si>
  <si>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</si>
  <si>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</si>
  <si>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</si>
  <si>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</si>
  <si>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</si>
  <si>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</si>
  <si>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</si>
  <si>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</si>
  <si>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</si>
  <si>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</si>
  <si>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</si>
  <si>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</si>
  <si>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</si>
  <si>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</si>
  <si>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</si>
  <si>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</si>
  <si>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</si>
  <si>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</si>
  <si>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</si>
  <si>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</si>
  <si>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</si>
  <si>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</si>
  <si>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</si>
  <si>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</si>
  <si>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</si>
  <si>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</si>
  <si>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</si>
  <si>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</si>
  <si>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</si>
  <si>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</si>
  <si>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</si>
  <si>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</si>
  <si>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</si>
  <si>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</si>
  <si>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</si>
  <si>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</si>
  <si>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</si>
  <si>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</si>
  <si>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</si>
  <si>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</si>
  <si>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</si>
  <si>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</si>
  <si>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</si>
  <si>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</si>
  <si>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</si>
  <si>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</si>
  <si>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</si>
  <si>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</si>
  <si>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</si>
  <si>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</si>
  <si>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</si>
  <si>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</si>
  <si>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</si>
  <si>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</si>
  <si>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</si>
  <si>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</si>
  <si>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</si>
  <si>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</si>
  <si>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</si>
  <si>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</si>
  <si>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</si>
  <si>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</si>
  <si>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</si>
  <si>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</si>
  <si>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</si>
  <si>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</si>
  <si>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</si>
  <si>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</si>
  <si>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</si>
  <si>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</si>
  <si>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</si>
  <si>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</si>
  <si>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</si>
  <si>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</si>
  <si>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</si>
  <si>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</si>
  <si>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</si>
  <si>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</si>
  <si>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</si>
  <si>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</si>
  <si>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</si>
  <si>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</si>
  <si>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</si>
  <si>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</si>
  <si>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</si>
  <si>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</si>
  <si>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</si>
  <si>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</si>
  <si>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</si>
  <si>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</si>
  <si>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</si>
  <si>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</si>
  <si>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</si>
  <si>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</si>
  <si>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</si>
  <si>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</si>
  <si>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</si>
  <si>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</si>
  <si>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</si>
  <si>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</si>
  <si>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</si>
  <si>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</si>
  <si>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</si>
  <si>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</si>
  <si>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</si>
  <si>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</si>
  <si>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</si>
  <si>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</si>
  <si>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</si>
  <si>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</si>
  <si>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</si>
  <si>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</si>
  <si>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</si>
  <si>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</si>
  <si>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</si>
  <si>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</si>
  <si>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</si>
  <si>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</si>
  <si>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</si>
  <si>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</si>
  <si>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</si>
  <si>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</si>
  <si>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</si>
  <si>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</si>
  <si>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</si>
  <si>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</si>
  <si>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</si>
  <si>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</si>
  <si>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</si>
  <si>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</si>
  <si>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</si>
  <si>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</si>
  <si>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</si>
  <si>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</si>
  <si>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</si>
  <si>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</si>
  <si>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</si>
  <si>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</si>
  <si>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</si>
  <si>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</si>
  <si>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</si>
  <si>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</si>
  <si>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</si>
  <si>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</si>
  <si>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</si>
  <si>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</si>
  <si>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</si>
  <si>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</si>
  <si>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</si>
  <si>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</si>
  <si>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</si>
  <si>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</si>
  <si>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</si>
  <si>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</si>
  <si>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</si>
  <si>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</si>
  <si>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</si>
  <si>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</si>
  <si>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</si>
  <si>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</si>
  <si>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</si>
  <si>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</si>
  <si>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</si>
  <si>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</si>
  <si>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</si>
  <si>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</si>
  <si>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</si>
  <si>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</si>
  <si>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</si>
  <si>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</si>
  <si>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</si>
  <si>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</si>
  <si>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</si>
  <si>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</si>
  <si>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</si>
  <si>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</si>
  <si>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</si>
  <si>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</si>
  <si>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</si>
  <si>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</si>
  <si>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</si>
  <si>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</si>
  <si>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</si>
  <si>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</si>
  <si>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</si>
  <si>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</si>
  <si>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</si>
  <si>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</si>
  <si>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</si>
  <si>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</si>
  <si>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</si>
  <si>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</si>
  <si>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</si>
  <si>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</si>
  <si>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</si>
  <si>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</si>
  <si>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</si>
  <si>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</si>
  <si>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</si>
  <si>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</si>
  <si>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</si>
  <si>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</si>
  <si>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</si>
  <si>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</si>
  <si>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</si>
  <si>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</si>
  <si>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</si>
  <si>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</si>
  <si>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</si>
  <si>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</si>
  <si>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</si>
  <si>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</si>
  <si>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</si>
  <si>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</si>
  <si>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</si>
  <si>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</si>
  <si>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</si>
  <si>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</si>
  <si>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</si>
  <si>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</si>
  <si>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</si>
  <si>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</si>
  <si>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</si>
  <si>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</si>
  <si>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</si>
  <si>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</si>
  <si>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</si>
  <si>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</si>
  <si>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</si>
  <si>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</si>
  <si>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</si>
  <si>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</si>
  <si>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</si>
  <si>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</si>
  <si>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</si>
  <si>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</si>
  <si>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</si>
  <si>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</si>
  <si>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</si>
  <si>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</si>
  <si>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</si>
  <si>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</si>
  <si>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</si>
  <si>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</si>
  <si>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</si>
  <si>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</si>
  <si>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</si>
  <si>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</si>
  <si>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</si>
  <si>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</si>
  <si>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</si>
  <si>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</si>
  <si>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</si>
  <si>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</si>
  <si>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</si>
  <si>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</si>
  <si>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</si>
  <si>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</si>
  <si>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</si>
  <si>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</si>
  <si>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</si>
  <si>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</si>
  <si>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</si>
  <si>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</si>
  <si>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</si>
  <si>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</si>
  <si>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</si>
  <si>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</si>
  <si>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</si>
  <si>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</si>
  <si>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</si>
  <si>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</si>
  <si>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</si>
  <si>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</si>
  <si>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</si>
  <si>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</si>
  <si>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</si>
  <si>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</si>
  <si>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</si>
  <si>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</si>
  <si>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</si>
  <si>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</si>
  <si>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</si>
  <si>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</si>
  <si>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</si>
  <si>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</si>
  <si>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</si>
  <si>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</si>
  <si>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</si>
  <si>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</si>
  <si>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</si>
  <si>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</si>
  <si>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</si>
  <si>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</si>
  <si>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</si>
  <si>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</si>
  <si>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</si>
  <si>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</si>
  <si>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</si>
  <si>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</si>
  <si>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</si>
  <si>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</si>
  <si>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</si>
  <si>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</si>
  <si>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</si>
  <si>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</si>
  <si>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</si>
  <si>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</si>
  <si>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</si>
  <si>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</si>
  <si>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</si>
  <si>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</si>
  <si>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</si>
  <si>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</si>
  <si>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</si>
  <si>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</si>
  <si>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</si>
  <si>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</si>
  <si>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</si>
  <si>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</si>
  <si>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</si>
  <si>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</si>
  <si>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</si>
  <si>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</si>
  <si>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</si>
  <si>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</si>
  <si>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</si>
  <si>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</si>
  <si>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</si>
  <si>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</si>
  <si>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</si>
  <si>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</si>
  <si>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</si>
  <si>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</si>
  <si>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</si>
  <si>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</si>
  <si>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</si>
  <si>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</si>
  <si>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</si>
  <si>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</si>
  <si>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</si>
  <si>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</si>
  <si>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</si>
  <si>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</si>
  <si>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</si>
  <si>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</si>
  <si>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</si>
  <si>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</si>
  <si>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</si>
  <si>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</si>
  <si>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</si>
  <si>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</si>
  <si>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</si>
  <si>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</si>
  <si>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</si>
  <si>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</si>
  <si>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</si>
  <si>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</si>
  <si>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</si>
  <si>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</si>
  <si>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</si>
  <si>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</si>
  <si>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</si>
  <si>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</si>
  <si>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</si>
  <si>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</si>
  <si>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</si>
  <si>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</si>
  <si>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</si>
  <si>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</si>
  <si>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</si>
  <si>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</si>
  <si>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</si>
  <si>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</si>
  <si>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</si>
  <si>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</si>
  <si>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</si>
  <si>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</si>
  <si>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</si>
  <si>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</si>
  <si>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</si>
  <si>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</si>
  <si>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</si>
  <si>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</si>
  <si>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</si>
  <si>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</si>
  <si>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</si>
  <si>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</si>
  <si>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</si>
  <si>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</si>
  <si>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</si>
  <si>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</si>
  <si>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</si>
  <si>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</si>
  <si>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</si>
  <si>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</si>
  <si>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</si>
  <si>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</si>
  <si>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</si>
  <si>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</si>
  <si>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</si>
  <si>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</si>
  <si>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</si>
  <si>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</si>
  <si>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</si>
  <si>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</si>
  <si>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</si>
  <si>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</si>
  <si>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</si>
  <si>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</si>
  <si>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</si>
  <si>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</si>
  <si>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</si>
  <si>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</si>
  <si>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</si>
  <si>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</si>
  <si>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</si>
  <si>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</si>
  <si>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</si>
  <si>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</si>
  <si>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</si>
  <si>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</si>
  <si>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</si>
  <si>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</si>
  <si>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</si>
  <si>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</si>
  <si>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</si>
  <si>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</si>
  <si>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</si>
  <si>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</si>
  <si>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</si>
  <si>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</si>
  <si>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</si>
  <si>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</si>
  <si>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</si>
  <si>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</si>
  <si>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</si>
  <si>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</si>
  <si>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</si>
  <si>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</si>
  <si>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</si>
  <si>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</si>
  <si>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</si>
  <si>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</si>
  <si>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</si>
  <si>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</si>
  <si>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</si>
  <si>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</si>
  <si>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</si>
  <si>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</si>
  <si>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</si>
  <si>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</si>
  <si>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</si>
  <si>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</si>
  <si>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</si>
  <si>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</si>
  <si>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</si>
  <si>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</si>
  <si>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</si>
  <si>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</si>
  <si>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</si>
  <si>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</si>
  <si>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</si>
  <si>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</si>
  <si>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</si>
  <si>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</si>
  <si>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</si>
  <si>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</si>
  <si>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</si>
  <si>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</si>
  <si>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</si>
  <si>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</si>
  <si>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</si>
  <si>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</si>
  <si>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</si>
  <si>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</si>
  <si>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</si>
  <si>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</si>
  <si>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</si>
  <si>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</si>
  <si>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</si>
  <si>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</si>
  <si>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</si>
  <si>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</si>
  <si>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</si>
  <si>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</si>
  <si>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</si>
  <si>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</si>
  <si>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</si>
  <si>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</si>
  <si>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</si>
  <si>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</si>
  <si>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</si>
  <si>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</si>
  <si>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</si>
  <si>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</si>
  <si>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</si>
  <si>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</si>
  <si>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</si>
  <si>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</si>
  <si>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</si>
  <si>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</si>
  <si>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</si>
  <si>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</si>
  <si>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</si>
  <si>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</si>
  <si>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</si>
  <si>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</si>
  <si>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</si>
  <si>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</si>
  <si>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</si>
  <si>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</si>
  <si>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</si>
  <si>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</si>
  <si>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</si>
  <si>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</si>
  <si>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</si>
  <si>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</si>
  <si>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</si>
  <si>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</si>
  <si>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</si>
  <si>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</si>
  <si>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</si>
  <si>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</si>
  <si>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</si>
  <si>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</si>
  <si>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</si>
  <si>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</si>
  <si>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</si>
  <si>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</si>
  <si>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</si>
  <si>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</si>
  <si>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</si>
  <si>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</si>
  <si>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</si>
  <si>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</si>
  <si>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</si>
  <si>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</si>
  <si>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</si>
  <si>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</si>
  <si>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</si>
  <si>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</si>
  <si>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</si>
  <si>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</si>
  <si>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</si>
  <si>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</si>
  <si>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</si>
  <si>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</si>
  <si>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</si>
  <si>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</si>
  <si>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</si>
  <si>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</si>
  <si>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</si>
  <si>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</si>
  <si>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</si>
  <si>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</si>
  <si>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</si>
  <si>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</si>
  <si>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</si>
  <si>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</si>
  <si>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</si>
  <si>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</si>
  <si>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</si>
  <si>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</si>
  <si>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</si>
  <si>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</si>
  <si>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</si>
  <si>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</si>
  <si>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</si>
  <si>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</si>
  <si>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</si>
  <si>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</si>
  <si>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</si>
  <si>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</si>
  <si>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</si>
  <si>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</si>
  <si>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</si>
  <si>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</si>
  <si>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</si>
  <si>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</si>
  <si>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</si>
  <si>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</si>
  <si>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</si>
  <si>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</si>
  <si>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</si>
  <si>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</si>
  <si>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</si>
  <si>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</si>
  <si>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</si>
  <si>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</si>
  <si>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</si>
  <si>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</si>
  <si>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</si>
  <si>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</si>
  <si>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</si>
  <si>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</si>
  <si>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</si>
  <si>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</si>
  <si>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</si>
  <si>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</si>
  <si>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</si>
  <si>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</si>
  <si>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</si>
  <si>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</si>
  <si>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</si>
  <si>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</si>
  <si>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</si>
  <si>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</si>
  <si>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</si>
  <si>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</si>
  <si>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</si>
  <si>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</si>
  <si>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</si>
  <si>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</si>
  <si>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</si>
  <si>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</si>
  <si>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</si>
  <si>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</si>
  <si>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</si>
  <si>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</si>
  <si>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</si>
  <si>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</si>
  <si>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</si>
  <si>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</si>
  <si>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</si>
  <si>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</si>
  <si>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</si>
  <si>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</si>
  <si>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</si>
  <si>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</si>
  <si>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</si>
  <si>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</si>
  <si>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</si>
  <si>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</si>
  <si>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</si>
  <si>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</si>
  <si>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</si>
  <si>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</si>
  <si>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</si>
  <si>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</si>
  <si>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</si>
  <si>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</si>
  <si>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</si>
  <si>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</si>
  <si>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</si>
  <si>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</si>
  <si>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</si>
  <si>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</si>
  <si>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</si>
  <si>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</si>
  <si>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</si>
  <si>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</si>
  <si>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</si>
  <si>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</si>
  <si>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</si>
  <si>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</si>
  <si>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</si>
  <si>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</si>
  <si>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</si>
  <si>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</si>
  <si>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</si>
  <si>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</si>
  <si>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</si>
  <si>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</si>
  <si>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</si>
  <si>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</si>
  <si>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</si>
  <si>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</si>
  <si>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</si>
  <si>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</si>
  <si>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</si>
  <si>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</si>
  <si>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</si>
  <si>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</si>
  <si>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</si>
  <si>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</si>
  <si>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</si>
  <si>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</si>
  <si>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</si>
  <si>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</si>
  <si>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</si>
  <si>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</si>
  <si>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</si>
  <si>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</si>
  <si>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</si>
  <si>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</si>
  <si>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</si>
  <si>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</si>
  <si>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</si>
  <si>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</si>
  <si>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</si>
  <si>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</si>
  <si>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</si>
  <si>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</si>
  <si>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</si>
  <si>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</si>
  <si>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</si>
  <si>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</si>
  <si>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</si>
  <si>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</si>
  <si>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</si>
  <si>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</si>
  <si>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</si>
  <si>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</si>
  <si>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</si>
  <si>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</si>
  <si>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</si>
  <si>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</si>
  <si>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</si>
  <si>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</si>
  <si>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</si>
  <si>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</si>
  <si>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</si>
  <si>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</si>
  <si>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</si>
  <si>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</si>
  <si>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</si>
  <si>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</si>
  <si>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</si>
  <si>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</si>
  <si>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</si>
  <si>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</si>
  <si>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</si>
  <si>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</si>
  <si>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</si>
  <si>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</si>
  <si>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</si>
  <si>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</si>
  <si>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</si>
  <si>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</si>
  <si>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</si>
  <si>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</si>
  <si>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</si>
  <si>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</si>
  <si>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</si>
  <si>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</si>
  <si>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</si>
  <si>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</si>
  <si>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</si>
  <si>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</si>
  <si>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</si>
  <si>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</si>
  <si>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</si>
  <si>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</si>
  <si>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</si>
  <si>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</si>
  <si>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</si>
  <si>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</si>
  <si>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</si>
  <si>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</si>
  <si>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</si>
  <si>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</si>
  <si>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</si>
  <si>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</si>
  <si>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</si>
  <si>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</si>
  <si>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</si>
  <si>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</si>
  <si>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</si>
  <si>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</si>
  <si>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</si>
  <si>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</si>
  <si>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</si>
  <si>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</si>
  <si>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</si>
  <si>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</si>
  <si>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</si>
  <si>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</si>
  <si>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</si>
  <si>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</si>
  <si>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</si>
  <si>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</si>
  <si>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</si>
  <si>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</si>
  <si>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</si>
  <si>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</si>
  <si>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</si>
  <si>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</si>
  <si>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</si>
  <si>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</si>
  <si>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</si>
  <si>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</si>
  <si>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</si>
  <si>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</si>
  <si>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</si>
  <si>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</si>
  <si>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</si>
  <si>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</si>
  <si>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</si>
  <si>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</si>
  <si>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</si>
  <si>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</si>
  <si>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</si>
  <si>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</si>
  <si>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</si>
  <si>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</si>
  <si>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</si>
  <si>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</si>
  <si>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</si>
  <si>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</si>
  <si>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</si>
  <si>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</si>
  <si>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</si>
  <si>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</si>
  <si>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</si>
  <si>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</si>
  <si>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</si>
  <si>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</si>
  <si>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</si>
  <si>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</si>
  <si>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</si>
  <si>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</si>
  <si>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</si>
  <si>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</si>
  <si>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</si>
  <si>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</si>
  <si>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</si>
  <si>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</si>
  <si>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</si>
  <si>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</si>
  <si>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</si>
  <si>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</si>
  <si>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</si>
  <si>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</si>
  <si>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</si>
  <si>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</si>
  <si>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</si>
  <si>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</si>
  <si>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</si>
  <si>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</si>
  <si>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</si>
  <si>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</si>
  <si>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</si>
  <si>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</si>
  <si>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</si>
  <si>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</si>
  <si>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</si>
  <si>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</si>
  <si>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</si>
  <si>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</si>
  <si>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</si>
  <si>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</si>
  <si>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</si>
  <si>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</si>
  <si>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</si>
  <si>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</si>
  <si>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</si>
  <si>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</si>
  <si>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</si>
  <si>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</si>
  <si>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</si>
  <si>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</si>
  <si>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</si>
  <si>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</si>
  <si>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</si>
  <si>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</si>
  <si>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</si>
  <si>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</si>
  <si>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</si>
  <si>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</si>
  <si>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</si>
  <si>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</si>
  <si>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</si>
  <si>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</si>
  <si>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</si>
  <si>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</si>
  <si>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</si>
  <si>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</si>
  <si>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</si>
  <si>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</si>
  <si>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</si>
  <si>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</si>
  <si>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</si>
  <si>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</si>
  <si>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</si>
  <si>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</si>
  <si>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</si>
  <si>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</si>
  <si>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</si>
  <si>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</si>
  <si>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</si>
  <si>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</si>
  <si>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</si>
  <si>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</si>
  <si>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</si>
  <si>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</si>
  <si>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</si>
  <si>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</si>
  <si>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</si>
  <si>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</si>
  <si>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</si>
  <si>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</si>
  <si>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</si>
  <si>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</si>
  <si>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</si>
  <si>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</si>
  <si>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</si>
  <si>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</si>
  <si>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</si>
  <si>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</si>
  <si>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</si>
  <si>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</si>
  <si>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</si>
  <si>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</si>
  <si>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</si>
  <si>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</si>
  <si>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</si>
  <si>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</si>
  <si>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</si>
  <si>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</si>
  <si>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</si>
  <si>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</si>
  <si>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</si>
  <si>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</si>
  <si>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</si>
  <si>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</si>
  <si>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</si>
  <si>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</si>
  <si>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</si>
  <si>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</si>
  <si>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</si>
  <si>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</si>
  <si>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</si>
  <si>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</si>
  <si>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</si>
  <si>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</si>
  <si>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</si>
  <si>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</si>
  <si>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</si>
  <si>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</si>
  <si>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</si>
  <si>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</si>
  <si>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</si>
  <si>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</si>
  <si>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</si>
  <si>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</si>
  <si>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</si>
  <si>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</si>
  <si>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</si>
  <si>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</si>
  <si>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</si>
  <si>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</si>
  <si>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</si>
  <si>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</si>
  <si>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</si>
  <si>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</si>
  <si>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</si>
  <si>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</si>
  <si>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</si>
  <si>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</si>
  <si>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</si>
  <si>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</si>
  <si>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</si>
  <si>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</si>
  <si>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</si>
  <si>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</si>
  <si>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</si>
  <si>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</si>
  <si>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</si>
  <si>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</si>
  <si>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</si>
  <si>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</si>
  <si>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</si>
  <si>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</si>
  <si>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</si>
  <si>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</si>
  <si>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</si>
  <si>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</si>
  <si>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</si>
  <si>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</si>
  <si>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</si>
  <si>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</si>
  <si>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</si>
  <si>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</si>
  <si>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</si>
  <si>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</si>
  <si>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</si>
  <si>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</si>
  <si>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</si>
  <si>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</si>
  <si>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</si>
  <si>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</si>
  <si>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</si>
  <si>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</si>
  <si>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</si>
  <si>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</si>
  <si>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</si>
  <si>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</si>
  <si>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</si>
  <si>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</si>
  <si>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</si>
  <si>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</si>
  <si>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</si>
  <si>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</si>
  <si>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</si>
  <si>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</si>
  <si>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</si>
  <si>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</si>
  <si>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</si>
  <si>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</si>
  <si>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</si>
  <si>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</si>
  <si>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</si>
  <si>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</si>
  <si>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</si>
  <si>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</si>
  <si>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</si>
  <si>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</si>
  <si>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</si>
  <si>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</si>
  <si>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</si>
  <si>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</si>
  <si>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</si>
  <si>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</si>
  <si>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</si>
  <si>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</si>
  <si>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</si>
  <si>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</si>
  <si>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</si>
  <si>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</si>
  <si>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</si>
  <si>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</si>
  <si>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</si>
  <si>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</si>
  <si>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</si>
  <si>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</si>
  <si>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</si>
  <si>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</si>
  <si>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</si>
  <si>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</si>
  <si>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</si>
  <si>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</si>
  <si>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</si>
  <si>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</si>
  <si>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</si>
  <si>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</si>
  <si>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</si>
  <si>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</si>
  <si>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</si>
  <si>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</si>
  <si>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</si>
  <si>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</si>
  <si>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</si>
  <si>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</si>
  <si>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</si>
  <si>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</si>
  <si>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</si>
  <si>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</si>
  <si>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</si>
  <si>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</si>
  <si>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</si>
  <si>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</si>
  <si>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</si>
  <si>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</si>
  <si>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</si>
  <si>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</si>
  <si>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</si>
  <si>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</si>
  <si>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</si>
  <si>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</si>
  <si>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</si>
  <si>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</si>
  <si>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</si>
  <si>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</si>
  <si>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</si>
  <si>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</si>
  <si>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</si>
  <si>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</si>
  <si>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</si>
  <si>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</si>
  <si>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</si>
  <si>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</si>
  <si>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</si>
  <si>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</si>
  <si>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</si>
  <si>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</si>
  <si>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</si>
  <si>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</si>
  <si>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</si>
  <si>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</si>
  <si>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</si>
  <si>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</si>
  <si>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</si>
  <si>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</si>
  <si>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</si>
  <si>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</si>
  <si>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</si>
  <si>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</si>
  <si>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</si>
  <si>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</si>
  <si>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</si>
  <si>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</si>
  <si>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</si>
  <si>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</si>
  <si>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</si>
  <si>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</si>
  <si>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</si>
  <si>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</si>
  <si>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</si>
  <si>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</si>
  <si>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</si>
  <si>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</si>
  <si>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</si>
  <si>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</si>
  <si>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</si>
  <si>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</si>
  <si>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</si>
  <si>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</si>
  <si>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</si>
  <si>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</si>
  <si>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</si>
  <si>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</si>
  <si>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</si>
  <si>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</si>
  <si>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</si>
  <si>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</si>
  <si>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</si>
  <si>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</si>
  <si>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</si>
  <si>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</si>
  <si>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</si>
  <si>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</si>
  <si>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</si>
  <si>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</si>
  <si>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</si>
  <si>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</si>
  <si>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</si>
  <si>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</si>
  <si>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</si>
  <si>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</si>
  <si>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</si>
  <si>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</si>
  <si>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</si>
  <si>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</si>
  <si>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</si>
  <si>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</si>
  <si>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</si>
  <si>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</si>
  <si>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</si>
  <si>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</si>
  <si>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</si>
  <si>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</si>
  <si>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</si>
  <si>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</si>
  <si>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</si>
  <si>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</si>
  <si>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</si>
  <si>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</si>
  <si>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</si>
  <si>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</si>
  <si>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</si>
  <si>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</si>
  <si>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</si>
  <si>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</si>
  <si>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</si>
  <si>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</si>
  <si>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</si>
  <si>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</si>
  <si>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</si>
  <si>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</si>
  <si>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</si>
  <si>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</si>
  <si>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</si>
  <si>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</si>
  <si>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</si>
  <si>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</si>
  <si>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</si>
  <si>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</si>
  <si>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</si>
  <si>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</si>
  <si>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</si>
  <si>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</si>
  <si>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</si>
  <si>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</si>
  <si>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</si>
  <si>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</si>
  <si>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</si>
  <si>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</si>
  <si>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</si>
  <si>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</si>
  <si>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</si>
  <si>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</si>
  <si>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</si>
  <si>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</si>
  <si>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</si>
  <si>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</si>
  <si>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</si>
  <si>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</si>
  <si>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</si>
  <si>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</si>
  <si>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</si>
  <si>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</si>
  <si>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</si>
  <si>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</si>
  <si>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</si>
  <si>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</si>
  <si>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</si>
  <si>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</si>
  <si>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</si>
  <si>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</si>
  <si>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</si>
  <si>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</si>
  <si>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</si>
  <si>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</si>
  <si>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</si>
  <si>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</si>
  <si>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</si>
  <si>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</si>
  <si>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</si>
  <si>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</si>
  <si>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</si>
  <si>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</si>
  <si>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</si>
  <si>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</si>
  <si>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</si>
  <si>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</si>
  <si>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</si>
  <si>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</si>
  <si>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</si>
  <si>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</si>
  <si>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</si>
  <si>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</si>
  <si>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</si>
  <si>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</si>
  <si>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</si>
  <si>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</si>
  <si>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</si>
  <si>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</si>
  <si>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</si>
  <si>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</si>
  <si>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</si>
  <si>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</si>
  <si>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</si>
  <si>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</si>
  <si>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</si>
  <si>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</si>
  <si>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</si>
  <si>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</si>
  <si>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</si>
  <si>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</si>
  <si>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</si>
  <si>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</si>
  <si>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</si>
  <si>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</si>
  <si>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</si>
  <si>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</si>
  <si>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</si>
  <si>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</si>
  <si>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</si>
  <si>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</si>
  <si>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</si>
  <si>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</si>
  <si>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</si>
  <si>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</si>
  <si>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</si>
  <si>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</si>
  <si>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</si>
  <si>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</si>
  <si>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</si>
  <si>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</si>
  <si>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</si>
  <si>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</si>
  <si>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</si>
  <si>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</si>
  <si>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</si>
  <si>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</si>
  <si>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</si>
  <si>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</si>
  <si>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</si>
  <si>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</si>
  <si>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</si>
  <si>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</si>
  <si>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</si>
  <si>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</si>
  <si>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</si>
  <si>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</si>
  <si>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</si>
  <si>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</si>
  <si>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</si>
  <si>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</si>
  <si>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</si>
  <si>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</si>
  <si>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</si>
  <si>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</si>
  <si>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</si>
  <si>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</si>
  <si>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</si>
  <si>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</si>
  <si>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</si>
  <si>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</si>
  <si>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</si>
  <si>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</si>
  <si>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</si>
  <si>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</si>
  <si>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</si>
  <si>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</si>
  <si>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</si>
  <si>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</si>
  <si>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</si>
  <si>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</si>
  <si>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</si>
  <si>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</si>
  <si>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</si>
  <si>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</si>
  <si>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</si>
  <si>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</si>
  <si>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</si>
  <si>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</si>
  <si>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</si>
  <si>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</si>
  <si>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</si>
  <si>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</si>
  <si>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</si>
  <si>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</si>
  <si>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</si>
  <si>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</si>
  <si>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</si>
  <si>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</si>
  <si>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</si>
  <si>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</si>
  <si>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</si>
  <si>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</si>
  <si>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</si>
  <si>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</si>
  <si>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</si>
  <si>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</si>
  <si>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</si>
  <si>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</si>
  <si>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</si>
  <si>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</si>
  <si>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</si>
  <si>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</si>
  <si>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</si>
  <si>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</si>
  <si>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</si>
  <si>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</si>
  <si>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</si>
  <si>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</si>
  <si>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</si>
  <si>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</si>
  <si>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</si>
  <si>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</si>
  <si>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</si>
  <si>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</si>
  <si>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</si>
  <si>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</si>
  <si>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</si>
  <si>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</si>
  <si>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</si>
  <si>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</si>
  <si>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</si>
  <si>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</si>
  <si>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</si>
  <si>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</si>
  <si>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</si>
  <si>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</si>
  <si>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</si>
  <si>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</si>
  <si>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</si>
  <si>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</si>
  <si>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</si>
  <si>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</si>
  <si>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</si>
  <si>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</si>
  <si>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</si>
  <si>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</si>
  <si>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</si>
  <si>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</si>
  <si>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</si>
  <si>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</si>
  <si>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</si>
  <si>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</si>
  <si>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</si>
  <si>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</si>
  <si>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</si>
  <si>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</si>
  <si>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</si>
  <si>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</si>
  <si>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</si>
  <si>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</si>
  <si>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</si>
  <si>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</si>
  <si>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</si>
  <si>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</si>
  <si>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</si>
  <si>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</si>
  <si>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</si>
  <si>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</si>
  <si>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</si>
  <si>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</si>
  <si>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</si>
  <si>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</si>
  <si>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</si>
  <si>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</si>
  <si>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</si>
  <si>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</si>
  <si>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</si>
  <si>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</si>
  <si>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</si>
  <si>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</si>
  <si>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</si>
  <si>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</si>
  <si>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</si>
  <si>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</si>
  <si>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</si>
  <si>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</si>
  <si>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</si>
  <si>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</si>
  <si>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</si>
  <si>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</si>
  <si>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</si>
  <si>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</si>
  <si>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</si>
  <si>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</si>
  <si>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</si>
  <si>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</si>
  <si>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</si>
  <si>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</si>
  <si>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</si>
  <si>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</si>
  <si>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</si>
  <si>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</si>
  <si>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</si>
  <si>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</si>
  <si>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</si>
  <si>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</si>
  <si>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</si>
  <si>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</si>
  <si>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</si>
  <si>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</si>
  <si>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</si>
  <si>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</si>
  <si>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</si>
  <si>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</si>
  <si>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</si>
  <si>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</si>
  <si>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</si>
  <si>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</si>
  <si>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</si>
  <si>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</si>
  <si>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</si>
  <si>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</si>
  <si>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</si>
  <si>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</si>
  <si>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</si>
  <si>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</si>
  <si>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</si>
  <si>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</si>
  <si>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</si>
  <si>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</si>
  <si>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</si>
  <si>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</si>
  <si>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</si>
  <si>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</si>
  <si>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</si>
  <si>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</si>
  <si>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</si>
  <si>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</si>
  <si>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</si>
  <si>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</si>
  <si>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</si>
  <si>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</si>
  <si>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</si>
  <si>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</si>
  <si>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</si>
  <si>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</si>
  <si>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</si>
  <si>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</si>
  <si>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</si>
  <si>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</si>
  <si>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</si>
  <si>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</si>
  <si>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</si>
  <si>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</si>
  <si>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</si>
  <si>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</si>
  <si>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</si>
  <si>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</si>
  <si>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</si>
  <si>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</si>
  <si>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</si>
  <si>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</si>
  <si>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</si>
  <si>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</si>
  <si>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</si>
  <si>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</si>
  <si>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</si>
  <si>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</si>
  <si>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</si>
  <si>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</si>
  <si>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</si>
  <si>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</si>
  <si>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</si>
  <si>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</si>
  <si>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</si>
  <si>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</si>
  <si>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</si>
  <si>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</si>
  <si>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</si>
  <si>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</si>
  <si>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</si>
  <si>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</si>
  <si>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</si>
  <si>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</si>
  <si>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</si>
  <si>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</si>
  <si>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</si>
  <si>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</si>
  <si>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</si>
  <si>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</si>
  <si>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</si>
  <si>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</si>
  <si>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</si>
  <si>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</si>
  <si>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</si>
  <si>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</si>
  <si>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</si>
  <si>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</si>
  <si>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</si>
  <si>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</si>
  <si>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</si>
  <si>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</si>
  <si>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</si>
  <si>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</si>
  <si>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</si>
  <si>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</si>
  <si>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</si>
  <si>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</si>
  <si>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</si>
  <si>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</si>
  <si>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</si>
  <si>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</si>
  <si>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</si>
  <si>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</si>
  <si>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</si>
  <si>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</si>
  <si>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</si>
  <si>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</si>
  <si>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</si>
  <si>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</si>
  <si>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</si>
  <si>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</si>
  <si>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</si>
  <si>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</si>
  <si>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</si>
  <si>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</si>
  <si>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</si>
  <si>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</si>
  <si>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</si>
  <si>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</si>
  <si>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</si>
  <si>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</si>
  <si>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</si>
  <si>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</si>
  <si>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</si>
  <si>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</si>
  <si>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</si>
  <si>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</si>
  <si>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</si>
  <si>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</si>
  <si>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</si>
  <si>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</si>
  <si>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</si>
  <si>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</si>
  <si>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</si>
  <si>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</si>
  <si>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</si>
  <si>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</si>
  <si>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</si>
  <si>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</si>
  <si>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</si>
  <si>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</si>
  <si>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</si>
  <si>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</si>
  <si>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</si>
  <si>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</si>
  <si>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</si>
  <si>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</si>
  <si>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</si>
  <si>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</si>
  <si>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</si>
  <si>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</si>
  <si>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</si>
  <si>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</si>
  <si>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</si>
  <si>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</si>
  <si>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</si>
  <si>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</si>
  <si>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</si>
  <si>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</si>
  <si>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</si>
  <si>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</si>
  <si>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</si>
  <si>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</si>
  <si>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</si>
  <si>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</si>
  <si>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</si>
  <si>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</si>
  <si>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</si>
  <si>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</si>
  <si>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</si>
  <si>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</si>
  <si>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</si>
  <si>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</si>
  <si>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</si>
  <si>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</si>
  <si>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</si>
  <si>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</si>
  <si>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</si>
  <si>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</si>
  <si>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</si>
  <si>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</si>
  <si>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</si>
  <si>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</si>
  <si>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</si>
  <si>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</si>
  <si>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</si>
  <si>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</si>
  <si>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</si>
  <si>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</si>
  <si>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</si>
  <si>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</si>
  <si>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</si>
  <si>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</si>
  <si>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</si>
  <si>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</si>
  <si>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</si>
  <si>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</si>
  <si>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</si>
  <si>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</si>
  <si>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</si>
  <si>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</si>
  <si>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</si>
  <si>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</si>
  <si>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</si>
  <si>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</si>
  <si>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</si>
  <si>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</si>
  <si>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</si>
  <si>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</si>
  <si>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</si>
  <si>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</si>
  <si>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</si>
  <si>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</si>
  <si>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</si>
  <si>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</si>
  <si>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</si>
  <si>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</si>
  <si>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</si>
  <si>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</si>
  <si>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</si>
  <si>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</si>
  <si>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</si>
  <si>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</si>
  <si>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</si>
  <si>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</si>
  <si>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</si>
  <si>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</si>
  <si>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</si>
  <si>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</si>
  <si>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</si>
  <si>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</si>
  <si>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</si>
  <si>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</si>
  <si>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</si>
  <si>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</si>
  <si>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</si>
  <si>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</si>
  <si>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</si>
  <si>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</si>
  <si>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</si>
  <si>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</si>
  <si>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</si>
  <si>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</si>
  <si>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</si>
  <si>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</si>
  <si>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</si>
  <si>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</si>
  <si>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</si>
  <si>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</si>
  <si>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</si>
  <si>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</si>
  <si>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</si>
  <si>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</si>
  <si>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</si>
  <si>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</si>
  <si>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</si>
  <si>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</si>
  <si>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</si>
  <si>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</si>
  <si>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</si>
  <si>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</si>
  <si>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</si>
  <si>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</si>
  <si>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</si>
  <si>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</si>
  <si>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</si>
  <si>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</si>
  <si>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</si>
  <si>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</si>
  <si>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</si>
  <si>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</si>
  <si>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</si>
  <si>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</si>
  <si>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</si>
  <si>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</si>
  <si>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</si>
  <si>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</si>
  <si>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</si>
  <si>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</si>
  <si>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</si>
  <si>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</si>
  <si>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</si>
  <si>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</si>
  <si>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</si>
  <si>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</si>
  <si>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</si>
  <si>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</si>
  <si>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</si>
  <si>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</si>
  <si>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</si>
  <si>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</si>
  <si>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</si>
  <si>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</si>
  <si>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</si>
  <si>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</si>
  <si>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</si>
  <si>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</si>
  <si>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</si>
  <si>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</si>
  <si>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</si>
  <si>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</si>
  <si>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</si>
  <si>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</si>
  <si>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</si>
  <si>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</si>
  <si>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</si>
  <si>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</si>
  <si>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</si>
  <si>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</si>
  <si>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</si>
  <si>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</si>
  <si>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</si>
  <si>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</si>
  <si>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</si>
  <si>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</si>
  <si>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</si>
  <si>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</si>
  <si>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</si>
  <si>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</si>
  <si>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</si>
  <si>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</si>
  <si>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</si>
  <si>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</si>
  <si>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</si>
  <si>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</si>
  <si>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</si>
  <si>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</si>
  <si>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</si>
  <si>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</si>
  <si>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</si>
  <si>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</si>
  <si>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</si>
  <si>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</si>
  <si>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</si>
  <si>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</si>
  <si>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</si>
  <si>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</si>
  <si>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</si>
  <si>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</si>
  <si>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</si>
  <si>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</si>
  <si>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</si>
  <si>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</si>
  <si>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</si>
  <si>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</si>
  <si>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</si>
  <si>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</si>
  <si>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</si>
  <si>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</si>
  <si>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</si>
  <si>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</si>
  <si>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</si>
  <si>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</si>
  <si>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</si>
  <si>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</si>
  <si>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</si>
  <si>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</si>
  <si>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</si>
  <si>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</si>
  <si>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</si>
  <si>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</si>
  <si>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</si>
  <si>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</si>
  <si>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</si>
  <si>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</si>
  <si>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</si>
  <si>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</si>
  <si>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</si>
  <si>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</si>
  <si>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</si>
  <si>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</si>
  <si>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</si>
  <si>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</si>
  <si>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</si>
  <si>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</si>
  <si>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</si>
  <si>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</si>
  <si>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</si>
  <si>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</si>
  <si>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</si>
  <si>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</si>
  <si>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</si>
  <si>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</si>
  <si>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</si>
  <si>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</si>
  <si>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</si>
  <si>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</si>
  <si>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</si>
  <si>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</si>
  <si>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</si>
  <si>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</si>
  <si>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</si>
  <si>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</si>
  <si>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</si>
  <si>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</si>
  <si>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</si>
  <si>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</si>
  <si>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</si>
  <si>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</si>
  <si>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</si>
  <si>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</si>
  <si>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</si>
  <si>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</si>
  <si>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</si>
  <si>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</si>
  <si>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</si>
  <si>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</si>
  <si>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</si>
  <si>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</si>
  <si>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</si>
  <si>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</si>
  <si>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</si>
  <si>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</si>
  <si>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</si>
  <si>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</si>
  <si>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</si>
  <si>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</si>
  <si>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</si>
  <si>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</si>
  <si>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</si>
  <si>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</si>
  <si>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</si>
  <si>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</si>
  <si>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</si>
  <si>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</si>
  <si>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</si>
  <si>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</si>
  <si>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</si>
  <si>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</si>
  <si>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</si>
  <si>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</si>
  <si>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</si>
  <si>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</si>
  <si>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</si>
  <si>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</si>
  <si>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</si>
  <si>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</si>
  <si>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</si>
  <si>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</si>
  <si>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</si>
  <si>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</si>
  <si>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</si>
  <si>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</si>
  <si>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</si>
  <si>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</si>
  <si>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</si>
  <si>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</si>
  <si>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</si>
  <si>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</si>
  <si>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</si>
  <si>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</si>
  <si>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</si>
  <si>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</si>
  <si>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</si>
  <si>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</si>
  <si>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</si>
  <si>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</si>
  <si>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</si>
  <si>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</si>
  <si>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</si>
  <si>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</si>
  <si>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</si>
  <si>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</si>
  <si>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</si>
  <si>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</si>
  <si>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</si>
  <si>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</si>
  <si>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</si>
  <si>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</si>
  <si>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</si>
  <si>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</si>
  <si>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</si>
  <si>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</si>
  <si>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</si>
  <si>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</si>
  <si>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</si>
  <si>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</si>
  <si>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</si>
  <si>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</si>
  <si>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</si>
  <si>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</si>
  <si>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</si>
  <si>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</si>
  <si>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</si>
  <si>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</si>
  <si>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</si>
  <si>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</si>
  <si>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</si>
  <si>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</si>
  <si>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</si>
  <si>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</si>
  <si>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</si>
  <si>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</si>
  <si>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</si>
  <si>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</si>
  <si>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</si>
  <si>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</si>
  <si>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</si>
  <si>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</si>
  <si>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</si>
  <si>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</si>
  <si>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</si>
  <si>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</si>
  <si>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</si>
  <si>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</si>
  <si>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</si>
  <si>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</si>
  <si>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</si>
  <si>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</si>
  <si>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</si>
  <si>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</si>
  <si>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</si>
  <si>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</si>
  <si>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</si>
  <si>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</si>
  <si>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</si>
  <si>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</si>
  <si>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</si>
  <si>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</si>
  <si>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</si>
  <si>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</si>
  <si>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</si>
  <si>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</si>
  <si>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</si>
  <si>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</si>
  <si>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</si>
  <si>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</si>
  <si>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</si>
  <si>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</si>
  <si>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</si>
  <si>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</si>
  <si>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</si>
  <si>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</si>
  <si>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</si>
  <si>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</si>
  <si>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</si>
  <si>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</si>
  <si>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</si>
  <si>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</si>
  <si>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</si>
  <si>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</si>
  <si>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</si>
  <si>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</si>
  <si>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</si>
  <si>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</si>
  <si>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</si>
  <si>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</si>
  <si>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</si>
  <si>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</si>
  <si>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</si>
  <si>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</si>
  <si>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</si>
  <si>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</si>
  <si>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</si>
  <si>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</si>
  <si>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</si>
  <si>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</si>
  <si>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</si>
  <si>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</si>
  <si>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</si>
  <si>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</si>
  <si>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</si>
  <si>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</si>
  <si>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</si>
  <si>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</si>
  <si>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</si>
  <si>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</si>
  <si>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</si>
  <si>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</si>
  <si>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</si>
  <si>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</si>
  <si>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</si>
  <si>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</si>
  <si>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</si>
  <si>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</si>
  <si>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</si>
  <si>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</si>
  <si>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</si>
  <si>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</si>
  <si>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</si>
  <si>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</si>
  <si>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</si>
  <si>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</si>
  <si>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</si>
  <si>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</si>
  <si>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</si>
  <si>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</si>
  <si>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</si>
  <si>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</si>
  <si>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</si>
  <si>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</si>
  <si>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</si>
  <si>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</si>
  <si>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</si>
  <si>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</si>
  <si>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</si>
  <si>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</si>
  <si>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</si>
  <si>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</si>
  <si>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</si>
  <si>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</si>
  <si>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</si>
  <si>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</si>
  <si>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</si>
  <si>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</si>
  <si>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</si>
  <si>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</si>
  <si>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</si>
  <si>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</si>
  <si>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</si>
  <si>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</si>
  <si>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</si>
  <si>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</si>
  <si>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</si>
  <si>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</si>
  <si>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</si>
  <si>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</si>
  <si>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</si>
  <si>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</si>
  <si>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</si>
  <si>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</si>
  <si>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</si>
  <si>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</si>
  <si>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</si>
  <si>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</si>
  <si>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</si>
  <si>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</si>
  <si>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</si>
  <si>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</si>
  <si>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</si>
  <si>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</si>
  <si>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</si>
  <si>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</si>
  <si>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</si>
  <si>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</si>
  <si>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</si>
  <si>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</si>
  <si>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</si>
  <si>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</si>
  <si>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</si>
  <si>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</si>
  <si>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</si>
  <si>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</si>
  <si>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</si>
  <si>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</si>
  <si>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</si>
  <si>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</si>
  <si>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</si>
  <si>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</si>
  <si>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</si>
  <si>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</si>
  <si>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</si>
  <si>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</si>
  <si>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</si>
  <si>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</si>
  <si>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</si>
  <si>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</si>
  <si>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</si>
  <si>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</si>
  <si>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</si>
  <si>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</si>
  <si>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</si>
  <si>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</si>
  <si>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</si>
  <si>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</si>
  <si>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</si>
  <si>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</si>
  <si>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</si>
  <si>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</si>
  <si>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</si>
  <si>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</si>
  <si>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</si>
  <si>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</si>
  <si>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</si>
  <si>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</si>
  <si>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</si>
  <si>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</si>
  <si>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</si>
  <si>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</si>
  <si>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</si>
  <si>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</si>
  <si>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</si>
  <si>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</si>
  <si>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</si>
  <si>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</si>
  <si>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</si>
  <si>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</si>
  <si>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</si>
  <si>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</si>
  <si>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</si>
  <si>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</si>
  <si>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</si>
  <si>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</si>
  <si>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</si>
  <si>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</si>
  <si>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</si>
  <si>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</si>
  <si>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</si>
  <si>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</si>
  <si>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</si>
  <si>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</si>
  <si>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</si>
  <si>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</si>
  <si>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</si>
  <si>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</si>
  <si>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</si>
  <si>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</si>
  <si>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</si>
  <si>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</si>
  <si>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</si>
  <si>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</si>
  <si>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</si>
  <si>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</si>
  <si>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</si>
  <si>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</si>
  <si>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</si>
  <si>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</si>
  <si>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</si>
  <si>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</si>
  <si>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</si>
  <si>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</si>
  <si>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</si>
  <si>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</si>
  <si>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</si>
  <si>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</si>
  <si>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</si>
  <si>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</si>
  <si>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</si>
  <si>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</si>
  <si>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</si>
  <si>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</si>
  <si>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</si>
  <si>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</si>
  <si>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</si>
  <si>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</si>
  <si>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</si>
  <si>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</si>
  <si>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</si>
  <si>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</si>
  <si>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</si>
  <si>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</si>
  <si>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</si>
  <si>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</si>
  <si>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</si>
  <si>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</si>
  <si>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</si>
  <si>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</si>
  <si>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</si>
  <si>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</si>
  <si>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</si>
  <si>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</si>
  <si>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</si>
  <si>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</si>
  <si>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</si>
  <si>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</si>
  <si>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</si>
  <si>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</si>
  <si>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</si>
  <si>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</si>
  <si>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</si>
  <si>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</si>
  <si>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</si>
  <si>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</si>
  <si>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</si>
  <si>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</si>
  <si>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</si>
  <si>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</si>
  <si>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</si>
  <si>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</si>
  <si>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</si>
  <si>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</si>
  <si>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</si>
  <si>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</si>
  <si>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</si>
  <si>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</si>
  <si>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</si>
  <si>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</si>
  <si>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</si>
  <si>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</si>
  <si>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</si>
  <si>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</si>
  <si>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</si>
  <si>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</si>
  <si>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</si>
  <si>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</si>
  <si>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</si>
  <si>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</si>
  <si>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</si>
  <si>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</si>
  <si>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</si>
  <si>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</si>
  <si>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</si>
  <si>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</si>
  <si>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</si>
  <si>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</si>
  <si>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</si>
  <si>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</si>
  <si>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</si>
  <si>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</si>
  <si>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</si>
  <si>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</si>
  <si>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</si>
  <si>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</si>
  <si>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</si>
  <si>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</si>
  <si>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</si>
  <si>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</si>
  <si>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</si>
  <si>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</si>
  <si>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</si>
  <si>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</si>
  <si>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</si>
  <si>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</si>
  <si>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</si>
  <si>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</si>
  <si>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</si>
  <si>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</si>
  <si>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</si>
  <si>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</si>
  <si>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</si>
  <si>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</si>
  <si>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</si>
  <si>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</si>
  <si>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</si>
  <si>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</si>
  <si>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</si>
  <si>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</si>
  <si>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</si>
  <si>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</si>
  <si>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</si>
  <si>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</si>
  <si>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</si>
  <si>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</si>
  <si>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</si>
  <si>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</si>
  <si>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</si>
  <si>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</si>
  <si>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</si>
  <si>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</si>
  <si>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</si>
  <si>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</si>
  <si>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</si>
  <si>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</si>
  <si>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</si>
  <si>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</si>
  <si>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</si>
  <si>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</si>
  <si>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</si>
  <si>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</si>
  <si>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</si>
  <si>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</si>
  <si>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</si>
  <si>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</si>
  <si>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</si>
  <si>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</si>
  <si>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</si>
  <si>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</si>
  <si>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</si>
  <si>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</si>
  <si>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</si>
  <si>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</si>
  <si>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</si>
  <si>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</si>
  <si>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</si>
  <si>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</si>
  <si>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</si>
  <si>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</si>
  <si>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</si>
  <si>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</si>
  <si>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</si>
  <si>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</si>
  <si>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</si>
  <si>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</si>
  <si>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</si>
  <si>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</si>
  <si>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</si>
  <si>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</si>
  <si>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</si>
  <si>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</si>
  <si>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</si>
  <si>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</si>
  <si>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</si>
  <si>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</si>
  <si>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</si>
  <si>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</si>
  <si>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</si>
  <si>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</si>
  <si>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</si>
  <si>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</si>
  <si>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</si>
  <si>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</si>
  <si>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</si>
  <si>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</si>
  <si>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</si>
  <si>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</si>
  <si>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</si>
  <si>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</si>
  <si>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</si>
  <si>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</si>
  <si>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</si>
  <si>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</si>
  <si>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</si>
  <si>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</si>
  <si>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</si>
  <si>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</si>
  <si>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</si>
  <si>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</si>
  <si>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</si>
  <si>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</si>
  <si>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</si>
  <si>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</si>
  <si>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</si>
  <si>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</si>
  <si>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</si>
  <si>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</si>
  <si>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</si>
  <si>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</si>
  <si>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</si>
  <si>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</si>
  <si>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</si>
  <si>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</si>
  <si>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</si>
  <si>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</si>
  <si>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</si>
  <si>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</si>
  <si>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</si>
  <si>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</si>
  <si>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</si>
  <si>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</si>
  <si>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</si>
  <si>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</si>
  <si>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</si>
  <si>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</si>
  <si>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</si>
  <si>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</si>
  <si>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</si>
  <si>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</si>
  <si>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</si>
  <si>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</si>
  <si>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</si>
  <si>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</si>
  <si>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</si>
  <si>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</si>
  <si>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</si>
  <si>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</si>
  <si>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</si>
  <si>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</si>
  <si>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</si>
  <si>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</si>
  <si>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</si>
  <si>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</si>
  <si>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</si>
  <si>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</si>
  <si>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</si>
  <si>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</si>
  <si>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</si>
  <si>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</si>
  <si>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</si>
  <si>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</si>
  <si>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</si>
  <si>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</si>
  <si>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</si>
  <si>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</si>
  <si>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</si>
  <si>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</si>
  <si>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</si>
  <si>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</si>
  <si>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</si>
  <si>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</si>
  <si>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</si>
  <si>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</si>
  <si>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</si>
  <si>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</si>
  <si>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</si>
  <si>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</si>
  <si>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</si>
  <si>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</si>
  <si>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</si>
  <si>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</si>
  <si>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</si>
  <si>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</si>
  <si>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</si>
  <si>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</si>
  <si>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</si>
  <si>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</si>
  <si>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</si>
  <si>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</si>
  <si>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</si>
  <si>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</si>
  <si>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</si>
  <si>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</si>
  <si>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</si>
  <si>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</si>
  <si>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</si>
  <si>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</si>
  <si>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</si>
  <si>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</si>
  <si>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</si>
  <si>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</si>
  <si>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</si>
  <si>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</si>
  <si>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</si>
  <si>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</si>
  <si>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</si>
  <si>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</si>
  <si>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</si>
  <si>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</si>
  <si>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</si>
  <si>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</si>
  <si>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</si>
  <si>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</si>
  <si>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</si>
  <si>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</si>
  <si>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</si>
  <si>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</si>
  <si>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</si>
  <si>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</si>
  <si>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</si>
  <si>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</si>
  <si>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</si>
  <si>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</si>
  <si>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</si>
  <si>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</si>
  <si>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</si>
  <si>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</si>
  <si>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</si>
  <si>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</si>
  <si>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</si>
  <si>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</si>
  <si>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</si>
  <si>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</si>
  <si>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</si>
  <si>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</si>
  <si>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</si>
  <si>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</si>
  <si>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</si>
  <si>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</si>
  <si>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</si>
  <si>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</si>
  <si>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</si>
  <si>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</si>
  <si>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</si>
  <si>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</si>
  <si>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</si>
  <si>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</si>
  <si>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</si>
  <si>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</si>
  <si>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</si>
  <si>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</si>
  <si>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</si>
  <si>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</si>
  <si>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</si>
  <si>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</si>
  <si>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</si>
  <si>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</si>
  <si>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</si>
  <si>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</si>
  <si>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</si>
  <si>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</si>
  <si>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</si>
  <si>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</si>
  <si>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</si>
  <si>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</si>
  <si>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</si>
  <si>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</si>
  <si>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</si>
  <si>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</si>
  <si>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</si>
  <si>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</si>
  <si>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</si>
  <si>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</si>
  <si>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</si>
  <si>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</si>
  <si>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</si>
  <si>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</si>
  <si>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</si>
  <si>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</si>
  <si>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</si>
  <si>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</si>
  <si>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</si>
  <si>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</si>
  <si>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</si>
  <si>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</si>
  <si>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</si>
  <si>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</si>
  <si>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</si>
  <si>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</si>
  <si>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</si>
  <si>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</si>
  <si>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</si>
  <si>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</si>
  <si>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</si>
  <si>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</si>
  <si>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</si>
  <si>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</si>
  <si>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</si>
  <si>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</si>
  <si>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</si>
  <si>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</si>
  <si>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</si>
  <si>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</si>
  <si>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</si>
  <si>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</si>
  <si>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</si>
  <si>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</si>
  <si>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</si>
  <si>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</si>
  <si>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</si>
  <si>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</si>
  <si>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</si>
  <si>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</si>
  <si>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</si>
  <si>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</si>
  <si>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</si>
  <si>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</si>
  <si>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</si>
  <si>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</si>
  <si>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</si>
  <si>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</si>
  <si>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</si>
  <si>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</si>
  <si>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</si>
  <si>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</si>
  <si>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</si>
  <si>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</si>
  <si>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</si>
  <si>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</si>
  <si>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</si>
  <si>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</si>
  <si>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</si>
  <si>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</si>
  <si>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</si>
  <si>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</si>
  <si>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</si>
  <si>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</si>
  <si>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</si>
  <si>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</si>
  <si>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</si>
  <si>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</si>
  <si>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</si>
  <si>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</si>
  <si>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</si>
  <si>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</si>
  <si>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</si>
  <si>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</si>
  <si>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</si>
  <si>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</si>
  <si>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</si>
  <si>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</si>
  <si>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</si>
  <si>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</si>
  <si>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</si>
  <si>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</si>
  <si>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</si>
  <si>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</si>
  <si>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</si>
  <si>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</si>
  <si>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</si>
  <si>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</si>
  <si>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</si>
  <si>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</si>
  <si>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</si>
  <si>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</si>
  <si>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</si>
  <si>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</si>
  <si>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</si>
  <si>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</si>
  <si>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</si>
  <si>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</si>
  <si>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</si>
  <si>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</si>
  <si>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</si>
  <si>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</si>
  <si>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</si>
  <si>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</si>
  <si>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</si>
  <si>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</si>
  <si>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</si>
  <si>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</si>
  <si>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</si>
  <si>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</si>
  <si>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</si>
  <si>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</si>
  <si>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</si>
  <si>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</si>
  <si>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</si>
  <si>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</si>
  <si>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</si>
  <si>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</si>
  <si>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</si>
  <si>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</si>
  <si>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</si>
  <si>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</si>
  <si>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</si>
  <si>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</si>
  <si>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</si>
  <si>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</si>
  <si>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</si>
  <si>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</si>
  <si>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</si>
  <si>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</si>
  <si>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</si>
  <si>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</si>
  <si>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</si>
  <si>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</si>
  <si>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</si>
  <si>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</si>
  <si>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</si>
  <si>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</si>
  <si>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</si>
  <si>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</si>
  <si>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</si>
  <si>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</si>
  <si>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</si>
  <si>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</si>
  <si>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</si>
  <si>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</si>
  <si>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</si>
  <si>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</si>
  <si>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</si>
  <si>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</si>
  <si>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</si>
  <si>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</si>
  <si>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</si>
  <si>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</si>
  <si>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</si>
  <si>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</si>
  <si>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</si>
  <si>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</si>
  <si>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</si>
  <si>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</si>
  <si>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</si>
  <si>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</si>
  <si>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</si>
  <si>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</si>
  <si>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</si>
  <si>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</si>
  <si>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</si>
  <si>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</si>
  <si>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</si>
  <si>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</si>
  <si>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</si>
  <si>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</si>
  <si>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</si>
  <si>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</si>
  <si>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</si>
  <si>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</si>
  <si>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</si>
  <si>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</si>
  <si>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</si>
  <si>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</si>
  <si>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</si>
  <si>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</si>
  <si>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</si>
  <si>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</si>
  <si>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</si>
  <si>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</si>
  <si>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</si>
  <si>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</si>
  <si>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</si>
  <si>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</si>
  <si>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</si>
  <si>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</si>
  <si>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</si>
  <si>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</si>
  <si>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</si>
  <si>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</si>
  <si>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</si>
  <si>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</si>
  <si>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</si>
  <si>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</si>
  <si>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</si>
  <si>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</si>
  <si>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</si>
  <si>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</si>
  <si>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</si>
  <si>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</si>
  <si>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</si>
  <si>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</si>
  <si>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</si>
  <si>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</si>
  <si>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</si>
  <si>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</si>
  <si>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</si>
  <si>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</si>
  <si>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</si>
  <si>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</si>
  <si>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</si>
  <si>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</si>
  <si>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</si>
  <si>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</si>
  <si>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</si>
  <si>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</si>
  <si>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</si>
  <si>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</si>
  <si>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</si>
  <si>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</si>
  <si>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</si>
  <si>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</si>
  <si>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</si>
  <si>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</si>
  <si>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</si>
  <si>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</si>
  <si>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</si>
  <si>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</si>
  <si>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</si>
  <si>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</si>
  <si>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</si>
  <si>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</si>
  <si>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</si>
  <si>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</si>
  <si>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</si>
  <si>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</si>
  <si>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</si>
  <si>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</si>
  <si>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</si>
  <si>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</si>
  <si>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</si>
  <si>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</si>
  <si>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</si>
  <si>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</si>
  <si>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</si>
  <si>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</si>
  <si>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</si>
  <si>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</si>
  <si>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</si>
  <si>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</si>
  <si>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</si>
  <si>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</si>
  <si>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</si>
  <si>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</si>
  <si>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</si>
  <si>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</si>
  <si>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</si>
  <si>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</si>
  <si>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</si>
  <si>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</si>
  <si>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</si>
  <si>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</si>
  <si>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</si>
  <si>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</si>
  <si>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</si>
  <si>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</si>
  <si>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</si>
  <si>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</si>
  <si>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</si>
  <si>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</si>
  <si>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</si>
  <si>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</si>
  <si>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</si>
  <si>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</si>
  <si>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</si>
  <si>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</si>
  <si>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</si>
  <si>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</si>
  <si>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</si>
  <si>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</si>
  <si>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</si>
  <si>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</si>
  <si>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</si>
  <si>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</si>
  <si>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</si>
  <si>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</si>
  <si>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</si>
  <si>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</si>
  <si>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</si>
  <si>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</si>
  <si>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</si>
  <si>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</si>
  <si>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</si>
  <si>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</si>
  <si>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</si>
  <si>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</si>
  <si>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</si>
  <si>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</si>
  <si>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</si>
  <si>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</si>
  <si>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</si>
  <si>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</si>
  <si>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</si>
  <si>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</si>
  <si>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</si>
  <si>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</si>
  <si>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</si>
  <si>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</si>
  <si>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</si>
  <si>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</si>
  <si>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</si>
  <si>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</si>
  <si>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</si>
  <si>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</si>
  <si>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</si>
  <si>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</si>
  <si>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</si>
  <si>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</si>
  <si>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</si>
  <si>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</si>
  <si>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</si>
  <si>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</si>
  <si>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</si>
  <si>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</si>
  <si>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</si>
  <si>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</si>
  <si>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</si>
  <si>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</si>
  <si>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</si>
  <si>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</si>
  <si>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</si>
  <si>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</si>
  <si>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</si>
  <si>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</si>
  <si>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</si>
  <si>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</si>
  <si>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</si>
  <si>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</si>
  <si>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</si>
  <si>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</si>
  <si>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</si>
  <si>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</si>
  <si>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</si>
  <si>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</si>
  <si>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</si>
  <si>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</si>
  <si>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</si>
  <si>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</si>
  <si>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</si>
  <si>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</si>
  <si>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</si>
  <si>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</si>
  <si>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</si>
  <si>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</si>
  <si>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</si>
  <si>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</si>
  <si>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</si>
  <si>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</si>
  <si>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</si>
  <si>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</si>
  <si>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</si>
  <si>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</si>
  <si>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</si>
  <si>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</si>
  <si>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</si>
  <si>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</si>
  <si>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</si>
  <si>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</si>
  <si>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</si>
  <si>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</si>
  <si>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</si>
  <si>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</si>
  <si>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</si>
  <si>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</si>
  <si>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</si>
  <si>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</si>
  <si>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</si>
  <si>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</si>
  <si>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</si>
  <si>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</si>
  <si>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</si>
  <si>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</si>
  <si>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</si>
  <si>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</si>
  <si>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</si>
  <si>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</si>
  <si>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</si>
  <si>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</si>
  <si>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</si>
  <si>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</si>
  <si>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</si>
  <si>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</si>
  <si>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</si>
  <si>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</si>
  <si>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</si>
  <si>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</si>
  <si>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</si>
  <si>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</si>
  <si>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</si>
  <si>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</si>
  <si>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</si>
  <si>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</si>
  <si>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</si>
  <si>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</si>
  <si>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</si>
  <si>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</si>
  <si>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</si>
  <si>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</si>
  <si>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</si>
  <si>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</si>
  <si>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</si>
  <si>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</si>
  <si>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</si>
  <si>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</si>
  <si>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</si>
  <si>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</si>
  <si>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</si>
  <si>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</si>
  <si>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</si>
  <si>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</si>
  <si>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</si>
  <si>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</si>
  <si>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</si>
  <si>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</si>
  <si>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</si>
  <si>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</si>
  <si>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</si>
  <si>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</si>
  <si>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</si>
  <si>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</si>
  <si>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</si>
  <si>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</si>
  <si>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</si>
  <si>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</si>
  <si>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</si>
  <si>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</si>
  <si>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</si>
  <si>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</si>
  <si>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</si>
  <si>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</si>
  <si>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</si>
  <si>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</si>
  <si>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</si>
  <si>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</si>
  <si>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</si>
  <si>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</si>
  <si>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</si>
  <si>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</si>
  <si>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</si>
  <si>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</si>
  <si>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</si>
  <si>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</si>
  <si>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</si>
  <si>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</si>
  <si>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</si>
  <si>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</si>
  <si>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</si>
  <si>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</si>
  <si>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</si>
  <si>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</si>
  <si>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</si>
  <si>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</si>
  <si>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</si>
  <si>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</si>
  <si>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</si>
  <si>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</si>
  <si>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</si>
  <si>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</si>
  <si>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</si>
  <si>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</si>
  <si>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</si>
  <si>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</si>
  <si>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</si>
  <si>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</si>
  <si>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</si>
  <si>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</si>
  <si>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</si>
  <si>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</si>
  <si>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</si>
  <si>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</si>
  <si>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</si>
  <si>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</si>
  <si>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</si>
  <si>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</si>
  <si>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</si>
  <si>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</si>
  <si>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</si>
  <si>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</si>
  <si>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</si>
  <si>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</si>
  <si>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</si>
  <si>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</si>
  <si>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</si>
  <si>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</si>
  <si>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</si>
  <si>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</si>
  <si>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</si>
  <si>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</si>
  <si>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</si>
  <si>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</si>
  <si>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</si>
  <si>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</si>
  <si>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</si>
  <si>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</si>
  <si>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</si>
  <si>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</si>
  <si>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</si>
  <si>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</si>
  <si>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</si>
  <si>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</si>
  <si>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</si>
  <si>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</si>
  <si>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</si>
  <si>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</si>
  <si>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</si>
  <si>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</si>
  <si>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</si>
  <si>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</si>
  <si>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</si>
  <si>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</si>
  <si>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</si>
  <si>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</si>
  <si>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</si>
  <si>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</si>
  <si>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</si>
  <si>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</si>
  <si>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</si>
  <si>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</si>
  <si>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</si>
  <si>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</si>
  <si>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</si>
  <si>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</si>
  <si>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</si>
  <si>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</si>
  <si>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</si>
  <si>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</si>
  <si>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</si>
  <si>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</si>
  <si>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</si>
  <si>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</si>
  <si>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</si>
  <si>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</si>
  <si>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</si>
  <si>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</si>
  <si>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</si>
  <si>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</si>
  <si>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</si>
  <si>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</si>
  <si>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</si>
  <si>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</si>
  <si>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</si>
  <si>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</si>
  <si>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</si>
  <si>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</si>
  <si>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</si>
  <si>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</si>
  <si>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</si>
  <si>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</si>
  <si>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</si>
  <si>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</si>
  <si>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</si>
  <si>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</si>
  <si>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</si>
  <si>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</si>
  <si>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</si>
  <si>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</si>
  <si>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</si>
  <si>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</si>
  <si>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</si>
  <si>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</si>
  <si>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</si>
  <si>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</si>
  <si>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</si>
  <si>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</si>
  <si>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</si>
  <si>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</si>
  <si>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</si>
  <si>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</si>
  <si>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</si>
  <si>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</si>
  <si>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</si>
  <si>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</si>
  <si>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</si>
  <si>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</si>
  <si>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</si>
  <si>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</si>
  <si>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</si>
  <si>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</si>
  <si>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</si>
  <si>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</si>
  <si>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</si>
  <si>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</si>
  <si>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</si>
  <si>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</si>
  <si>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</si>
  <si>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</si>
  <si>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</si>
  <si>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</si>
  <si>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</si>
  <si>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</si>
  <si>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</si>
  <si>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</si>
  <si>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</si>
  <si>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</si>
  <si>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</si>
  <si>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</si>
  <si>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</si>
  <si>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</si>
  <si>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</si>
  <si>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</si>
  <si>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</si>
  <si>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</si>
  <si>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</si>
  <si>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</si>
  <si>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</si>
  <si>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</si>
  <si>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</si>
  <si>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</si>
  <si>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</si>
  <si>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</si>
  <si>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</si>
  <si>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</si>
  <si>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</si>
  <si>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</si>
  <si>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</si>
  <si>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</si>
  <si>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</si>
  <si>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</si>
  <si>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</si>
  <si>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</si>
  <si>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</si>
  <si>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</si>
  <si>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</si>
  <si>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</si>
  <si>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</si>
  <si>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</si>
  <si>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</si>
  <si>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</si>
  <si>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</si>
  <si>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</si>
  <si>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</si>
  <si>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</si>
  <si>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</si>
  <si>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</si>
  <si>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</si>
  <si>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</si>
  <si>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</si>
  <si>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</si>
  <si>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</si>
  <si>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</si>
  <si>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</si>
  <si>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</si>
  <si>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</si>
  <si>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</si>
  <si>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</si>
  <si>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</si>
  <si>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</si>
  <si>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</si>
  <si>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</si>
  <si>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</si>
  <si>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</si>
  <si>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</si>
  <si>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</si>
  <si>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</si>
  <si>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</si>
  <si>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</si>
  <si>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</si>
  <si>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</si>
  <si>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</si>
  <si>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</si>
  <si>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</si>
  <si>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</si>
  <si>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</si>
  <si>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</si>
  <si>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</si>
  <si>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</si>
  <si>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</si>
  <si>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</si>
  <si>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</si>
  <si>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</si>
  <si>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</si>
  <si>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</si>
  <si>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</si>
  <si>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</si>
  <si>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</si>
  <si>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</si>
  <si>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</si>
  <si>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</si>
  <si>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</si>
  <si>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</si>
  <si>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</si>
  <si>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</si>
  <si>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</si>
  <si>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</si>
  <si>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</si>
  <si>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</si>
  <si>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</si>
  <si>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</si>
  <si>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</si>
  <si>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</si>
  <si>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</si>
  <si>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</si>
  <si>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</si>
  <si>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</si>
  <si>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</si>
  <si>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</si>
  <si>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</si>
  <si>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</si>
  <si>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</si>
  <si>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</si>
  <si>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</si>
  <si>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</si>
  <si>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</si>
  <si>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</si>
  <si>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</si>
  <si>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</si>
  <si>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</si>
  <si>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</si>
  <si>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</si>
  <si>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</si>
  <si>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</si>
  <si>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</si>
  <si>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</si>
  <si>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</si>
  <si>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</si>
  <si>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</si>
  <si>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</si>
  <si>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</si>
  <si>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</si>
  <si>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</si>
  <si>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</si>
  <si>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</si>
  <si>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</si>
  <si>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</si>
  <si>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</si>
  <si>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</si>
  <si>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</si>
  <si>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</si>
  <si>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</si>
  <si>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</si>
  <si>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</si>
  <si>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</si>
  <si>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</si>
  <si>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</si>
  <si>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</si>
  <si>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</si>
  <si>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</si>
  <si>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</si>
  <si>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</si>
  <si>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</si>
  <si>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</si>
  <si>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</si>
  <si>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</si>
  <si>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</si>
  <si>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</si>
  <si>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</si>
  <si>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</si>
  <si>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</si>
  <si>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</si>
  <si>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</si>
  <si>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</si>
  <si>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</si>
  <si>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</si>
  <si>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</si>
  <si>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</si>
  <si>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</si>
  <si>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</si>
  <si>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</si>
  <si>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</si>
  <si>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</si>
  <si>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</si>
  <si>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</si>
  <si>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</si>
  <si>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</si>
  <si>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</si>
  <si>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</si>
  <si>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</si>
  <si>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</si>
  <si>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</si>
  <si>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</si>
  <si>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</si>
  <si>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</si>
  <si>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</si>
  <si>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</si>
  <si>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</si>
  <si>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</si>
  <si>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</si>
  <si>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</si>
  <si>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</si>
  <si>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</si>
  <si>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</si>
  <si>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</si>
  <si>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</si>
  <si>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</si>
  <si>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</si>
  <si>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</si>
  <si>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</si>
  <si>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</si>
  <si>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</si>
  <si>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</si>
  <si>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</si>
  <si>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</si>
  <si>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</si>
  <si>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</si>
  <si>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</si>
  <si>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</si>
  <si>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</si>
  <si>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</si>
  <si>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</si>
  <si>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</si>
  <si>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</si>
  <si>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</si>
  <si>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</si>
  <si>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</si>
  <si>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</si>
  <si>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</si>
  <si>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</si>
  <si>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</si>
  <si>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</si>
  <si>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</si>
  <si>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</si>
  <si>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</si>
  <si>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</si>
  <si>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</si>
  <si>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</si>
  <si>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</si>
  <si>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</si>
  <si>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</si>
  <si>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</si>
  <si>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</si>
  <si>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</si>
  <si>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</si>
  <si>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</si>
  <si>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</si>
  <si>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</si>
  <si>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</si>
  <si>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</si>
  <si>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</si>
  <si>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</si>
  <si>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</si>
  <si>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</si>
  <si>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</si>
  <si>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</si>
  <si>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</si>
  <si>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</si>
  <si>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</si>
  <si>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</si>
  <si>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</si>
  <si>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</si>
  <si>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</si>
  <si>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</si>
  <si>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</si>
  <si>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</si>
  <si>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</si>
  <si>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</si>
  <si>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</si>
  <si>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</si>
  <si>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</si>
  <si>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</si>
  <si>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</si>
  <si>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</si>
  <si>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</si>
  <si>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</si>
  <si>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</si>
  <si>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</si>
  <si>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</si>
  <si>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</si>
  <si>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</si>
  <si>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</si>
  <si>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</si>
  <si>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</si>
  <si>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</si>
  <si>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</si>
  <si>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</si>
  <si>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</si>
  <si>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</si>
  <si>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</si>
  <si>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</si>
  <si>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</si>
  <si>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</si>
  <si>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</si>
  <si>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</si>
  <si>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</si>
  <si>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</si>
  <si>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</si>
  <si>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</si>
  <si>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</si>
  <si>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</si>
  <si>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</si>
  <si>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</si>
  <si>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</si>
  <si>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</si>
  <si>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</si>
  <si>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</si>
  <si>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</si>
  <si>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</si>
  <si>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</si>
  <si>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</si>
  <si>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</si>
  <si>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</si>
  <si>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</si>
  <si>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</si>
  <si>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</si>
  <si>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</si>
  <si>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</si>
  <si>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</si>
  <si>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</si>
  <si>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</si>
  <si>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</si>
  <si>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</si>
  <si>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</si>
  <si>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</si>
  <si>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</si>
  <si>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</si>
  <si>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</si>
  <si>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</si>
  <si>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</si>
  <si>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</si>
  <si>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</si>
  <si>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</si>
  <si>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</si>
  <si>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</si>
  <si>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</si>
  <si>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</si>
  <si>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</si>
  <si>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</si>
  <si>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</si>
  <si>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</si>
  <si>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</si>
  <si>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</si>
  <si>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</si>
  <si>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</si>
  <si>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</si>
  <si>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</si>
  <si>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</si>
  <si>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</si>
  <si>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</si>
  <si>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</si>
  <si>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</si>
  <si>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</si>
  <si>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</si>
  <si>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</si>
  <si>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</si>
  <si>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</si>
  <si>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</si>
  <si>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</si>
  <si>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</si>
  <si>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</si>
  <si>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</si>
  <si>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</si>
  <si>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</si>
  <si>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</si>
  <si>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</si>
  <si>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</si>
  <si>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</si>
  <si>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</si>
  <si>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</si>
  <si>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</si>
  <si>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</si>
  <si>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</si>
  <si>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</si>
  <si>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</si>
  <si>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</si>
  <si>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</si>
  <si>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</si>
  <si>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</si>
  <si>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</si>
  <si>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</si>
  <si>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</si>
  <si>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</si>
  <si>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</si>
  <si>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</si>
  <si>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</si>
  <si>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</si>
  <si>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</si>
  <si>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</si>
  <si>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</si>
  <si>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</si>
  <si>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</si>
  <si>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</si>
  <si>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</si>
  <si>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</si>
  <si>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</si>
  <si>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</si>
  <si>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</si>
  <si>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</si>
  <si>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</si>
  <si>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</si>
  <si>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</si>
  <si>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</si>
  <si>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</si>
  <si>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</si>
  <si>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</si>
  <si>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</si>
  <si>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</si>
  <si>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</si>
  <si>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</si>
  <si>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</si>
  <si>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</si>
  <si>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</si>
  <si>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</si>
  <si>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</si>
  <si>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</si>
  <si>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</si>
  <si>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</si>
  <si>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</si>
  <si>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</si>
  <si>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</si>
  <si>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</si>
  <si>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</si>
  <si>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</si>
  <si>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</si>
  <si>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</si>
  <si>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</si>
  <si>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</si>
  <si>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</si>
  <si>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</si>
  <si>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</si>
  <si>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</si>
  <si>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</si>
  <si>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</si>
  <si>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</si>
  <si>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</si>
  <si>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</si>
  <si>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</si>
  <si>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</si>
  <si>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</si>
  <si>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</si>
  <si>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</si>
  <si>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</si>
  <si>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</si>
  <si>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</si>
  <si>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</si>
  <si>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</si>
  <si>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</si>
  <si>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</si>
  <si>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</si>
  <si>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</si>
  <si>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</si>
  <si>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</si>
  <si>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</si>
  <si>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</si>
  <si>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</si>
  <si>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</si>
  <si>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</si>
  <si>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</si>
  <si>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</si>
  <si>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</si>
  <si>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</si>
  <si>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</si>
  <si>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</si>
  <si>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</si>
  <si>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</si>
  <si>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</si>
  <si>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</si>
  <si>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</si>
  <si>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</si>
  <si>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</si>
  <si>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</si>
  <si>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</si>
  <si>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</si>
  <si>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</si>
  <si>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</si>
  <si>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</si>
  <si>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</si>
  <si>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</si>
  <si>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</si>
  <si>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</si>
  <si>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</si>
  <si>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</si>
  <si>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</si>
  <si>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</si>
  <si>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</si>
  <si>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</si>
  <si>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</si>
  <si>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</si>
  <si>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</si>
  <si>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</si>
  <si>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</si>
  <si>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</si>
  <si>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</si>
  <si>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</si>
  <si>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</si>
  <si>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</si>
  <si>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</si>
  <si>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</si>
  <si>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</si>
  <si>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</si>
  <si>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</si>
  <si>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</si>
  <si>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</si>
  <si>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</si>
  <si>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</si>
  <si>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</si>
  <si>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</si>
  <si>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</si>
  <si>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</si>
  <si>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</si>
  <si>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</si>
  <si>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</si>
  <si>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</si>
  <si>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</si>
  <si>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</si>
  <si>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</si>
  <si>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</si>
  <si>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</si>
  <si>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</si>
  <si>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</si>
  <si>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</si>
  <si>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</si>
  <si>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</si>
  <si>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</si>
  <si>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</si>
  <si>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</si>
  <si>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</si>
  <si>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</si>
  <si>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</si>
  <si>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</si>
  <si>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</si>
  <si>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</si>
  <si>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</si>
  <si>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</si>
  <si>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</si>
  <si>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</si>
  <si>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</si>
  <si>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</si>
  <si>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</si>
  <si>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</si>
  <si>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</si>
  <si>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</si>
  <si>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</si>
  <si>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</si>
  <si>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</si>
  <si>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</si>
  <si>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</si>
  <si>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</si>
  <si>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</si>
  <si>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</si>
  <si>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</si>
  <si>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</si>
  <si>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</si>
  <si>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</si>
  <si>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</si>
  <si>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</si>
  <si>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</si>
  <si>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</si>
  <si>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</si>
  <si>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</si>
  <si>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</si>
  <si>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</si>
  <si>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</si>
  <si>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</si>
  <si>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</si>
  <si>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</si>
  <si>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</si>
  <si>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</si>
  <si>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</si>
  <si>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</si>
  <si>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</si>
  <si>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</si>
  <si>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</si>
  <si>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</si>
  <si>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</si>
  <si>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</si>
  <si>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</si>
  <si>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</si>
  <si>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</si>
  <si>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</si>
  <si>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</si>
  <si>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</si>
  <si>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</si>
  <si>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</si>
  <si>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</si>
  <si>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</si>
  <si>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</si>
  <si>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</si>
  <si>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</si>
  <si>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</si>
  <si>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</si>
  <si>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</si>
  <si>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</si>
  <si>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</si>
  <si>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</si>
  <si>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</si>
  <si>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</si>
  <si>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</si>
  <si>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</si>
  <si>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</si>
  <si>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</si>
  <si>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</si>
  <si>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</si>
  <si>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</si>
  <si>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</si>
  <si>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</si>
  <si>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</si>
  <si>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</si>
  <si>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</si>
  <si>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</si>
  <si>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</si>
  <si>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</si>
  <si>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</si>
  <si>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</si>
  <si>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</si>
  <si>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</si>
  <si>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</si>
  <si>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</si>
  <si>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</si>
  <si>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</si>
  <si>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</si>
  <si>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</si>
  <si>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</si>
  <si>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</si>
  <si>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</si>
  <si>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</si>
  <si>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</si>
  <si>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</si>
  <si>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</si>
  <si>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</si>
  <si>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</si>
  <si>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</si>
  <si>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</si>
  <si>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</si>
  <si>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</si>
  <si>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</si>
  <si>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</si>
  <si>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</si>
  <si>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</si>
  <si>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</si>
  <si>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</si>
  <si>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</si>
  <si>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</si>
  <si>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</si>
  <si>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</si>
  <si>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</si>
  <si>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</si>
  <si>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</si>
  <si>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</si>
  <si>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</si>
  <si>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</si>
  <si>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</si>
  <si>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</si>
  <si>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</si>
  <si>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</si>
  <si>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</si>
  <si>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</si>
  <si>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</si>
  <si>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</si>
  <si>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</si>
  <si>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</si>
  <si>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</si>
  <si>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</si>
  <si>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</si>
  <si>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</si>
  <si>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</si>
  <si>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</si>
  <si>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</si>
  <si>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</si>
  <si>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</si>
  <si>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</si>
  <si>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</si>
  <si>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</si>
  <si>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</si>
  <si>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</si>
  <si>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</si>
  <si>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</si>
  <si>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</si>
  <si>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</si>
  <si>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</si>
  <si>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</si>
  <si>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</si>
  <si>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</si>
  <si>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</si>
  <si>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</si>
  <si>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</si>
  <si>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</si>
  <si>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</si>
  <si>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</si>
  <si>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</si>
  <si>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</si>
  <si>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</si>
  <si>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</si>
  <si>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</si>
  <si>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</si>
  <si>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</si>
  <si>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</si>
  <si>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</si>
  <si>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</si>
  <si>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</si>
  <si>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</si>
  <si>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</si>
  <si>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</si>
  <si>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</si>
  <si>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</si>
  <si>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</si>
  <si>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</si>
  <si>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</si>
  <si>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</si>
  <si>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</si>
  <si>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</si>
  <si>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</si>
  <si>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</si>
  <si>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</si>
  <si>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</si>
  <si>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</si>
  <si>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</si>
  <si>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</si>
  <si>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</si>
  <si>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</si>
  <si>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</si>
  <si>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</si>
  <si>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</si>
  <si>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</si>
  <si>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</si>
  <si>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</si>
  <si>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</si>
  <si>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</si>
  <si>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</si>
  <si>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</si>
  <si>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</si>
  <si>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</si>
  <si>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</si>
  <si>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</si>
  <si>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</si>
  <si>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</si>
  <si>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</si>
  <si>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</si>
  <si>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</si>
  <si>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</si>
  <si>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</si>
  <si>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</si>
  <si>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</si>
  <si>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</si>
  <si>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</si>
  <si>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</si>
  <si>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</si>
  <si>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</si>
  <si>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</si>
  <si>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</si>
  <si>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</si>
  <si>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</si>
  <si>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</si>
  <si>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</si>
  <si>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</si>
  <si>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</si>
  <si>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</si>
  <si>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</si>
  <si>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</si>
  <si>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</si>
  <si>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</si>
  <si>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</si>
  <si>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</si>
  <si>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</si>
  <si>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</si>
  <si>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</si>
  <si>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</si>
  <si>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</si>
  <si>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</si>
  <si>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</si>
  <si>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</si>
  <si>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</si>
  <si>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</si>
  <si>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</si>
  <si>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</si>
  <si>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</si>
  <si>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</si>
  <si>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</si>
  <si>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</si>
  <si>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</si>
  <si>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</si>
  <si>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</si>
  <si>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</si>
  <si>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</si>
  <si>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</si>
  <si>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</si>
  <si>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</si>
  <si>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</si>
  <si>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</si>
  <si>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</si>
  <si>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</si>
  <si>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</si>
  <si>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</si>
  <si>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</si>
  <si>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</si>
  <si>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</si>
  <si>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</si>
  <si>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</si>
  <si>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</si>
  <si>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</si>
  <si>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</si>
  <si>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</si>
  <si>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</si>
  <si>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</si>
  <si>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</si>
  <si>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</si>
  <si>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</si>
  <si>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</si>
  <si>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</si>
  <si>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</si>
  <si>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</si>
  <si>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</si>
  <si>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</si>
  <si>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</si>
  <si>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</si>
  <si>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</si>
  <si>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</si>
  <si>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</si>
  <si>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</si>
  <si>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</si>
  <si>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</si>
  <si>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</si>
  <si>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</si>
  <si>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</si>
  <si>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</si>
  <si>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</si>
  <si>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</si>
  <si>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</si>
  <si>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</si>
  <si>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</si>
  <si>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</si>
  <si>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</si>
  <si>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</si>
  <si>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</si>
  <si>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</si>
  <si>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</si>
  <si>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</si>
  <si>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</si>
  <si>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</si>
  <si>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</si>
  <si>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</si>
  <si>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</si>
  <si>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</si>
  <si>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</si>
  <si>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</si>
  <si>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</si>
  <si>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</si>
  <si>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</si>
  <si>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</si>
  <si>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</si>
  <si>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</si>
  <si>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</si>
  <si>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</si>
  <si>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</si>
  <si>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</si>
  <si>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</si>
  <si>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</si>
  <si>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</si>
  <si>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</si>
  <si>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</si>
  <si>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</si>
  <si>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</si>
  <si>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</si>
  <si>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</si>
  <si>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</si>
  <si>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</si>
  <si>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</si>
  <si>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</si>
  <si>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</si>
  <si>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</si>
  <si>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</si>
  <si>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</si>
  <si>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</si>
  <si>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</si>
  <si>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</si>
  <si>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</si>
  <si>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</si>
  <si>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</si>
  <si>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</si>
  <si>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</si>
  <si>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</si>
  <si>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</si>
  <si>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</si>
  <si>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</si>
  <si>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</si>
  <si>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</si>
  <si>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</si>
  <si>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</si>
  <si>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</si>
  <si>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</si>
  <si>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</si>
  <si>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</si>
  <si>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</si>
  <si>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</si>
  <si>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</si>
  <si>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</si>
  <si>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</si>
  <si>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</si>
  <si>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</si>
  <si>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</si>
  <si>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</si>
  <si>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</si>
  <si>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</si>
  <si>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</si>
  <si>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</si>
  <si>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</si>
  <si>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</si>
  <si>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</si>
  <si>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</si>
  <si>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</si>
  <si>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</si>
  <si>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</si>
  <si>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</si>
  <si>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</si>
  <si>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</si>
  <si>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</si>
  <si>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</si>
  <si>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</si>
  <si>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</si>
  <si>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</si>
  <si>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</si>
  <si>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</si>
  <si>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</si>
  <si>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</si>
  <si>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</si>
  <si>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</si>
  <si>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</si>
  <si>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</si>
  <si>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</si>
  <si>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</si>
  <si>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</si>
  <si>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</si>
  <si>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</si>
  <si>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</si>
  <si>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</si>
  <si>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</si>
  <si>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</si>
  <si>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</si>
  <si>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</si>
  <si>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</si>
  <si>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</si>
  <si>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</si>
  <si>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</si>
  <si>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</si>
  <si>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</si>
  <si>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</si>
  <si>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</si>
  <si>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</si>
  <si>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</si>
  <si>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</si>
  <si>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</si>
  <si>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</si>
  <si>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</si>
  <si>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</si>
  <si>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</si>
  <si>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</si>
  <si>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</si>
  <si>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</si>
  <si>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</si>
  <si>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</si>
  <si>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</si>
  <si>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</si>
  <si>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</si>
  <si>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</si>
  <si>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</si>
  <si>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</si>
  <si>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</si>
  <si>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</si>
  <si>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</si>
  <si>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</si>
  <si>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</si>
  <si>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</si>
  <si>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</si>
  <si>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</si>
  <si>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</si>
  <si>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</si>
  <si>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</si>
  <si>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</si>
  <si>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</si>
  <si>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</si>
  <si>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</si>
  <si>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</si>
  <si>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</si>
  <si>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</si>
  <si>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</si>
  <si>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</si>
  <si>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</si>
  <si>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</si>
  <si>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</si>
  <si>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</si>
  <si>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</si>
  <si>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</si>
  <si>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</si>
  <si>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</si>
  <si>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</si>
  <si>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</si>
  <si>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</si>
  <si>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</si>
  <si>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</si>
  <si>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</si>
  <si>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</si>
  <si>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</si>
  <si>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</si>
  <si>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</si>
  <si>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</si>
  <si>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</si>
  <si>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</si>
  <si>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</si>
  <si>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</si>
  <si>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</si>
  <si>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</si>
  <si>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</si>
  <si>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</si>
  <si>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</si>
  <si>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</si>
  <si>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</si>
  <si>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</si>
  <si>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</si>
  <si>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</si>
  <si>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</si>
  <si>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</si>
  <si>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</si>
  <si>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</si>
  <si>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</si>
  <si>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</si>
  <si>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</si>
  <si>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</si>
  <si>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</si>
  <si>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</si>
  <si>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</si>
  <si>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</si>
  <si>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</si>
  <si>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</si>
  <si>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</si>
  <si>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</si>
  <si>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</si>
  <si>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</si>
  <si>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</si>
  <si>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</si>
  <si>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</si>
  <si>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</si>
  <si>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</si>
  <si>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</si>
  <si>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</si>
  <si>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</si>
  <si>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</si>
  <si>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</si>
  <si>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</si>
  <si>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</si>
  <si>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</si>
  <si>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</si>
  <si>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</si>
  <si>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</si>
  <si>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</si>
  <si>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</si>
  <si>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</si>
  <si>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</si>
  <si>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</si>
  <si>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</si>
  <si>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</si>
  <si>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</si>
  <si>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</si>
  <si>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</si>
  <si>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</si>
  <si>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</si>
  <si>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</si>
  <si>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</si>
  <si>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</si>
  <si>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</si>
  <si>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</si>
  <si>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</si>
  <si>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</si>
  <si>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</si>
  <si>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</si>
  <si>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</si>
  <si>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</si>
  <si>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</si>
  <si>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</si>
  <si>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</si>
  <si>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</si>
  <si>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</si>
  <si>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</si>
  <si>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</si>
  <si>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</si>
  <si>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</si>
  <si>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</si>
  <si>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</si>
  <si>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</si>
  <si>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</si>
  <si>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</si>
  <si>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</si>
  <si>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</si>
  <si>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</si>
  <si>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</si>
  <si>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</si>
  <si>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</si>
  <si>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</si>
  <si>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</si>
  <si>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</si>
  <si>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</si>
  <si>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</si>
  <si>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</si>
  <si>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</si>
  <si>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</si>
  <si>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</si>
  <si>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</si>
  <si>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</si>
  <si>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</si>
  <si>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</si>
  <si>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</si>
  <si>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</si>
  <si>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</si>
  <si>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</si>
  <si>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</si>
  <si>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</si>
  <si>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</si>
  <si>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</si>
  <si>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</si>
  <si>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</si>
  <si>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</si>
  <si>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</si>
  <si>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</si>
  <si>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</si>
  <si>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</si>
  <si>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</si>
  <si>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</si>
  <si>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</si>
  <si>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</si>
  <si>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</si>
  <si>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</si>
  <si>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</si>
  <si>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</si>
  <si>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</si>
  <si>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</si>
  <si>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</si>
  <si>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</si>
  <si>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</si>
  <si>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</si>
  <si>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</si>
  <si>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</si>
  <si>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</si>
  <si>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</si>
  <si>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</si>
  <si>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</si>
  <si>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</si>
  <si>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</si>
  <si>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</si>
  <si>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</si>
  <si>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</si>
  <si>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</si>
  <si>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</si>
  <si>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</si>
  <si>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</si>
  <si>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</si>
  <si>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</si>
  <si>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</si>
  <si>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</si>
  <si>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</si>
  <si>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</si>
  <si>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</si>
  <si>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</si>
  <si>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</si>
  <si>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</si>
  <si>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</si>
  <si>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</si>
  <si>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</si>
  <si>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</si>
  <si>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</si>
  <si>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</si>
  <si>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</si>
  <si>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</si>
  <si>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</si>
  <si>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</si>
  <si>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</si>
  <si>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</si>
  <si>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</si>
  <si>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</si>
  <si>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</si>
  <si>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</si>
  <si>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</si>
  <si>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</si>
  <si>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</si>
  <si>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</si>
  <si>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</si>
  <si>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</si>
  <si>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</si>
  <si>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</si>
  <si>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</si>
  <si>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</si>
  <si>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</si>
  <si>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</si>
  <si>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</si>
  <si>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</si>
  <si>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</si>
  <si>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</si>
  <si>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</si>
  <si>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</si>
  <si>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</si>
  <si>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</si>
  <si>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</si>
  <si>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</si>
  <si>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</si>
  <si>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</si>
  <si>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</si>
  <si>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</si>
  <si>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</si>
  <si>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</si>
  <si>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</si>
  <si>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</si>
  <si>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</si>
  <si>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</si>
  <si>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</si>
  <si>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</si>
  <si>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</si>
  <si>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</si>
  <si>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</si>
  <si>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</si>
  <si>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</si>
  <si>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</si>
  <si>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</si>
  <si>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</si>
  <si>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</si>
  <si>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</si>
  <si>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</si>
  <si>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</si>
  <si>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</si>
  <si>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</si>
  <si>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</si>
  <si>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</si>
  <si>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</si>
  <si>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</si>
  <si>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</si>
  <si>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</si>
  <si>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</si>
  <si>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</si>
  <si>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</si>
  <si>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</si>
  <si>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</si>
  <si>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</si>
  <si>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</si>
  <si>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</si>
  <si>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</si>
  <si>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</si>
  <si>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</si>
  <si>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</si>
  <si>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</si>
  <si>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</si>
  <si>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</si>
  <si>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</si>
  <si>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</si>
  <si>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</si>
  <si>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</si>
  <si>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</si>
  <si>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</si>
  <si>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</si>
  <si>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</si>
  <si>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</si>
  <si>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</si>
  <si>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</si>
  <si>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</si>
  <si>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</si>
  <si>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</si>
  <si>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</si>
  <si>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</si>
  <si>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</si>
  <si>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</si>
  <si>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</si>
  <si>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</si>
  <si>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</si>
  <si>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</si>
  <si>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</si>
  <si>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</si>
  <si>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</si>
  <si>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</si>
  <si>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</si>
  <si>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</si>
  <si>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</si>
  <si>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</si>
  <si>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</si>
  <si>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</si>
  <si>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</si>
  <si>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</si>
  <si>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</si>
  <si>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</si>
  <si>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</si>
  <si>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</si>
  <si>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</si>
  <si>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</si>
  <si>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</si>
  <si>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</si>
  <si>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</si>
  <si>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</si>
  <si>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</si>
  <si>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</si>
  <si>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</si>
  <si>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</si>
  <si>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</si>
  <si>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</si>
  <si>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</si>
  <si>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</si>
  <si>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</si>
  <si>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</si>
  <si>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</si>
  <si>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</si>
  <si>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</si>
  <si>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</si>
  <si>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</si>
  <si>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</si>
  <si>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</si>
  <si>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</si>
  <si>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</si>
  <si>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</si>
  <si>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</si>
  <si>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</si>
  <si>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</si>
  <si>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</si>
  <si>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</si>
  <si>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</si>
  <si>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</si>
  <si>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</si>
  <si>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</si>
  <si>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</si>
  <si>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</si>
  <si>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</si>
  <si>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</si>
  <si>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</si>
  <si>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</si>
  <si>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</si>
  <si>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</si>
  <si>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</si>
  <si>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</si>
  <si>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</si>
  <si>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</si>
  <si>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</si>
  <si>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</si>
  <si>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</si>
  <si>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</si>
  <si>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</si>
  <si>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</si>
  <si>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</si>
  <si>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</si>
  <si>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</si>
  <si>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</si>
  <si>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</si>
  <si>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</si>
  <si>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</si>
  <si>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</si>
  <si>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</si>
  <si>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</si>
  <si>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</si>
  <si>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</si>
  <si>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</si>
  <si>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</si>
  <si>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</si>
  <si>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</si>
  <si>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</si>
  <si>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</si>
  <si>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</si>
  <si>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</si>
  <si>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</si>
  <si>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</si>
  <si>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</si>
  <si>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</si>
  <si>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</si>
  <si>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</si>
  <si>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</si>
  <si>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</si>
  <si>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</si>
  <si>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</si>
  <si>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</si>
  <si>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</si>
  <si>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</si>
  <si>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</si>
  <si>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</si>
  <si>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</si>
  <si>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</si>
  <si>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</si>
  <si>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</si>
  <si>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</si>
  <si>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</si>
  <si>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</si>
  <si>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</si>
  <si>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</si>
  <si>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</si>
  <si>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</si>
  <si>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</si>
  <si>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</si>
  <si>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</si>
  <si>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</si>
  <si>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</si>
  <si>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</si>
  <si>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</si>
  <si>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</si>
  <si>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</si>
  <si>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</si>
  <si>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</si>
  <si>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</si>
  <si>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</si>
  <si>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</si>
  <si>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</si>
  <si>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</si>
  <si>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</si>
  <si>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</si>
  <si>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</si>
  <si>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</si>
  <si>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</si>
  <si>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</si>
  <si>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</si>
  <si>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</si>
  <si>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</si>
  <si>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</si>
  <si>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</si>
  <si>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</si>
  <si>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</si>
  <si>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</si>
  <si>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</si>
  <si>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</si>
  <si>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</si>
  <si>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</si>
  <si>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</si>
  <si>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</si>
  <si>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</si>
  <si>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</si>
  <si>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</si>
  <si>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</si>
  <si>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</si>
  <si>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</si>
  <si>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</si>
  <si>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</si>
  <si>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</si>
  <si>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</si>
  <si>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</si>
  <si>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</si>
  <si>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</si>
  <si>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</si>
  <si>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</si>
  <si>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</si>
  <si>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</si>
  <si>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</si>
  <si>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</si>
  <si>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</si>
  <si>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</si>
  <si>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</si>
  <si>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</si>
  <si>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</si>
  <si>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</si>
  <si>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</si>
  <si>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</si>
  <si>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</si>
  <si>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</si>
  <si>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</si>
  <si>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</si>
  <si>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</si>
  <si>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</si>
  <si>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</si>
  <si>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</si>
  <si>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</si>
  <si>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</si>
  <si>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</si>
  <si>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</si>
  <si>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</si>
  <si>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</si>
  <si>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</si>
  <si>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</si>
  <si>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</si>
  <si>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</si>
  <si>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</si>
  <si>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</si>
  <si>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</si>
  <si>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</si>
  <si>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</si>
  <si>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</si>
  <si>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</si>
  <si>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</si>
  <si>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</si>
  <si>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</si>
  <si>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</si>
  <si>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</si>
  <si>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</si>
  <si>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</si>
  <si>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</si>
  <si>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</si>
  <si>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</si>
  <si>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</si>
  <si>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</si>
  <si>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</si>
  <si>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</si>
  <si>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</si>
  <si>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</si>
  <si>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</si>
  <si>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</si>
  <si>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</si>
  <si>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</si>
  <si>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</si>
  <si>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</si>
  <si>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</si>
  <si>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</si>
  <si>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</si>
  <si>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</si>
  <si>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</si>
  <si>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</si>
  <si>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</si>
  <si>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</si>
  <si>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</si>
  <si>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</si>
  <si>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</si>
  <si>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</si>
  <si>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</si>
  <si>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</si>
  <si>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</si>
  <si>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</si>
  <si>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</si>
  <si>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</si>
  <si>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</si>
  <si>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</si>
  <si>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</si>
  <si>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</si>
  <si>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</si>
  <si>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</si>
  <si>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</si>
  <si>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</si>
  <si>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</si>
  <si>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</si>
  <si>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</si>
  <si>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</si>
  <si>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</si>
  <si>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</si>
  <si>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</si>
  <si>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</si>
  <si>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</si>
  <si>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</si>
  <si>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</si>
  <si>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</si>
  <si>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</si>
  <si>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</si>
  <si>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</si>
  <si>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</si>
  <si>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</si>
  <si>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</si>
  <si>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</si>
  <si>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</si>
  <si>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</si>
  <si>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</si>
  <si>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</si>
  <si>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</si>
  <si>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</si>
  <si>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</si>
  <si>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</si>
  <si>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</si>
  <si>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</si>
  <si>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</si>
  <si>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</si>
  <si>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</si>
  <si>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</si>
  <si>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</si>
  <si>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</si>
  <si>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</si>
  <si>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</si>
  <si>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</si>
  <si>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</si>
  <si>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</si>
  <si>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</si>
  <si>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</si>
  <si>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</si>
  <si>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</si>
  <si>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</si>
  <si>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</si>
  <si>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</si>
  <si>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</si>
  <si>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</si>
  <si>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</si>
  <si>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</si>
  <si>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</si>
  <si>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</si>
  <si>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</si>
  <si>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</si>
  <si>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</si>
  <si>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</si>
  <si>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</si>
  <si>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</si>
  <si>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</si>
  <si>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</si>
  <si>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</si>
  <si>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</si>
  <si>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</si>
  <si>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</si>
  <si>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</si>
  <si>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</si>
  <si>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</si>
  <si>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</si>
  <si>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</si>
  <si>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</si>
  <si>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</si>
  <si>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</si>
  <si>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</si>
  <si>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</si>
  <si>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</si>
  <si>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</si>
  <si>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</si>
  <si>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</si>
  <si>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</si>
  <si>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</si>
  <si>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</si>
  <si>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</si>
  <si>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</si>
  <si>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</si>
  <si>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</si>
  <si>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</si>
  <si>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</si>
  <si>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</si>
  <si>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</si>
  <si>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</si>
  <si>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</si>
  <si>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</si>
  <si>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</si>
  <si>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</si>
  <si>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</si>
  <si>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Semiconductor Components Industries, LLC dba onsemi</t>
  </si>
  <si>
    <t>04-414-9362</t>
  </si>
  <si>
    <t>DUNS</t>
  </si>
  <si>
    <t>5701 N. Pima Rd., Scottsdale, AZ 85250 USA</t>
  </si>
  <si>
    <t>Edwin Laoreno</t>
  </si>
  <si>
    <t>edwin.laoreno@onsemi.com</t>
  </si>
  <si>
    <t>(408) 822-2600</t>
  </si>
  <si>
    <t>Michelle Lando</t>
  </si>
  <si>
    <t>michelle.lando@onsemi.com</t>
  </si>
  <si>
    <t>(602) 244-6600</t>
  </si>
  <si>
    <t>https://www.onsemi.com/site/pdf/Conflict_Mineral_Policy.pdf</t>
  </si>
  <si>
    <t>n/a (not mandatory field)</t>
  </si>
  <si>
    <t>Rabie El Abassi</t>
  </si>
  <si>
    <t>r.elabassi@managemgroup.com</t>
  </si>
  <si>
    <t>no action need</t>
  </si>
  <si>
    <t>RCOI confirmed per RMI</t>
  </si>
  <si>
    <t>Conformant</t>
  </si>
  <si>
    <t>Arend van der Goes</t>
  </si>
  <si>
    <t>arend.vandergoes@ambatovy.mg</t>
  </si>
  <si>
    <t>Aust-Agder</t>
  </si>
  <si>
    <t>not available</t>
  </si>
  <si>
    <t>outreach supply chain</t>
  </si>
  <si>
    <t>Wang Wei</t>
  </si>
  <si>
    <t>wangxp@jnmc.com</t>
  </si>
  <si>
    <t>Yasufumi Kuwayama</t>
  </si>
  <si>
    <t>Kinzoku_Responsible_Cobalt@smm-g.com</t>
  </si>
  <si>
    <t>Juha Parkkinen</t>
  </si>
  <si>
    <t>juha.parkkinen@nornickel.fi</t>
  </si>
  <si>
    <t>Bryce Lee</t>
  </si>
  <si>
    <t>brycelee@huayou.com</t>
  </si>
  <si>
    <t>Barbara Cooreman</t>
  </si>
  <si>
    <t>barbara.cooreman@eu.umicore.com</t>
  </si>
  <si>
    <t>Jonas DeSchaepmeester</t>
  </si>
  <si>
    <t>Jonas.DeSchaepmeester@eu.umicore.com</t>
  </si>
  <si>
    <t>Chief Ethics and Compliance Officer</t>
  </si>
  <si>
    <t>Conformant with JDDS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</si>
</sst>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_Mineral_Policy.pdf" TargetMode="External"/><Relationship Id="rId2" Type="http://schemas.openxmlformats.org/officeDocument/2006/relationships/hyperlink" Target="mailto:edwin.laoreno@onsemi.com" TargetMode="External"/><Relationship Id="rId1" Type="http://schemas.openxmlformats.org/officeDocument/2006/relationships/hyperlink" Target="mailto:michelle.lando@on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D90FFF9-4BF7-4E9A-9CF6-AE6463830665}"/>
    </customSheetView>
    <customSheetView guid="{4BDF1A28-30D5-449D-B20E-D6C97EF9FAE1}" showAutoFilter="1">
      <selection activeCell="C1" sqref="C1:D65536"/>
      <pageMargins left="0" right="0" top="0" bottom="0" header="0" footer="0"/>
      <pageSetup orientation="portrait"/>
      <autoFilter ref="B1:C1" xr:uid="{622438BF-0B80-43B2-A779-06F6A6FFC31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70" zoomScaleNormal="7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G27" sqref="G27:J27"/>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2" t="s">
        <v>19207</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19236</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19210</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45747</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26</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30">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E59CEFF8-60F3-42D3-8138-D74EF23622E7}"/>
    <hyperlink ref="D16" r:id="rId2" xr:uid="{049A44C7-04BD-4E03-876D-11D348EDB12D}"/>
    <hyperlink ref="G71" r:id="rId3" xr:uid="{DA47AEEC-FB5A-4477-ADC5-D901158D6BD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7">
      <c r="A5" s="200" t="s">
        <v>78</v>
      </c>
      <c r="B5" s="150" t="s">
        <v>43</v>
      </c>
      <c r="C5" s="153" t="s">
        <v>76</v>
      </c>
      <c r="D5" s="150"/>
      <c r="E5" s="150" t="s">
        <v>77</v>
      </c>
      <c r="F5" s="150" t="s">
        <v>78</v>
      </c>
      <c r="G5" s="150" t="s">
        <v>12</v>
      </c>
      <c r="H5" s="208" t="s">
        <v>19213</v>
      </c>
      <c r="I5" s="209" t="s">
        <v>79</v>
      </c>
      <c r="J5" s="209" t="s">
        <v>7841</v>
      </c>
      <c r="K5" s="151" t="s">
        <v>19214</v>
      </c>
      <c r="L5" s="151" t="s">
        <v>19215</v>
      </c>
      <c r="M5" s="151" t="s">
        <v>19216</v>
      </c>
      <c r="N5" s="151" t="s">
        <v>19217</v>
      </c>
      <c r="O5" s="151" t="s">
        <v>19217</v>
      </c>
      <c r="P5" s="211" t="s">
        <v>2111</v>
      </c>
      <c r="Q5" s="152" t="s">
        <v>19218</v>
      </c>
      <c r="R5" s="150" t="str">
        <f ca="1">IF(ISERROR($V5),"",OFFSET('Smelter Look-up'!$C$4,$V5-4,0)&amp;"")</f>
        <v>Compagnie de Tifnout Tiranimine</v>
      </c>
      <c r="S5" s="156" t="str">
        <f t="shared" ref="S5:S63" ca="1" si="0">IF(B5="","",IF(ISERROR(MATCH($E5,CL,0)),"Unknown",INDIRECT("'C'!$A$"&amp;MATCH($E5,CL,0)+1)))</f>
        <v>MA</v>
      </c>
      <c r="T5" s="156" t="str">
        <f ca="1">IF(B5="","",IF(ISERROR(MATCH($J5,SorP!$B$1:$B$6226,0)),"",INDIRECT("'SorP'!$A$"&amp;MATCH($S5&amp;$J5,SorP!C:C,0))))</f>
        <v>MA-07</v>
      </c>
      <c r="U5" s="169"/>
      <c r="V5" s="170">
        <f>IF(C5="",NA(),MATCH($B5&amp;$C5,'Smelter Look-up'!$J:$J,0))</f>
        <v>11</v>
      </c>
      <c r="X5" s="171">
        <f t="shared" ref="X5:X62" si="1">IF(AND(C5="Smelter not listed",OR(LEN(D5)=0,LEN(E5)=0)),1,0)</f>
        <v>0</v>
      </c>
      <c r="AB5" s="171" t="str">
        <f t="shared" ref="AB5:AB62" si="2">B5&amp;C5</f>
        <v>CobaltCompagnie de Tifnout Tiranimine</v>
      </c>
    </row>
    <row r="6" spans="1:34" s="171" customFormat="1" ht="27">
      <c r="A6" s="200" t="s">
        <v>94</v>
      </c>
      <c r="B6" s="150" t="s">
        <v>43</v>
      </c>
      <c r="C6" s="153" t="s">
        <v>92</v>
      </c>
      <c r="D6" s="150"/>
      <c r="E6" s="150" t="s">
        <v>93</v>
      </c>
      <c r="F6" s="150" t="s">
        <v>94</v>
      </c>
      <c r="G6" s="150" t="s">
        <v>12</v>
      </c>
      <c r="H6" s="208" t="s">
        <v>19213</v>
      </c>
      <c r="I6" s="209" t="s">
        <v>95</v>
      </c>
      <c r="J6" s="209" t="s">
        <v>95</v>
      </c>
      <c r="K6" s="151" t="s">
        <v>19219</v>
      </c>
      <c r="L6" s="151" t="s">
        <v>19220</v>
      </c>
      <c r="M6" s="151" t="s">
        <v>19216</v>
      </c>
      <c r="N6" s="151" t="s">
        <v>19217</v>
      </c>
      <c r="O6" s="151" t="s">
        <v>19217</v>
      </c>
      <c r="P6" s="211" t="s">
        <v>2111</v>
      </c>
      <c r="Q6" s="152" t="s">
        <v>19218</v>
      </c>
      <c r="R6" s="150" t="str">
        <f ca="1">IF(ISERROR($V6),"",OFFSET('Smelter Look-up'!$C$4,$V6-4,0)&amp;"")</f>
        <v>Dynatec Madagascar Company</v>
      </c>
      <c r="S6" s="156" t="str">
        <f t="shared" ca="1" si="0"/>
        <v>MG</v>
      </c>
      <c r="T6" s="156" t="str">
        <f ca="1">IF(B6="","",IF(ISERROR(MATCH($J6,SorP!$B$1:$B$6226,0)),"",INDIRECT("'SorP'!$A$"&amp;MATCH($S6&amp;$J6,SorP!C:C,0))))</f>
        <v>MG-A</v>
      </c>
      <c r="U6" s="169"/>
      <c r="V6" s="170">
        <f>IF(C6="",NA(),MATCH($B6&amp;$C6,'Smelter Look-up'!$J:$J,0))</f>
        <v>16</v>
      </c>
      <c r="X6" s="171">
        <f t="shared" si="1"/>
        <v>0</v>
      </c>
      <c r="AB6" s="171" t="str">
        <f t="shared" si="2"/>
        <v>CobaltDynatec Madagascar Company</v>
      </c>
    </row>
    <row r="7" spans="1:34" s="171" customFormat="1" ht="20">
      <c r="A7" s="200" t="s">
        <v>123</v>
      </c>
      <c r="B7" s="150" t="s">
        <v>43</v>
      </c>
      <c r="C7" s="153" t="s">
        <v>121</v>
      </c>
      <c r="D7" s="150"/>
      <c r="E7" s="150" t="s">
        <v>122</v>
      </c>
      <c r="F7" s="150" t="s">
        <v>123</v>
      </c>
      <c r="G7" s="150" t="s">
        <v>12</v>
      </c>
      <c r="H7" s="208" t="s">
        <v>19213</v>
      </c>
      <c r="I7" s="209" t="s">
        <v>124</v>
      </c>
      <c r="J7" s="209" t="s">
        <v>19221</v>
      </c>
      <c r="K7" s="151" t="s">
        <v>19222</v>
      </c>
      <c r="L7" s="151" t="s">
        <v>19222</v>
      </c>
      <c r="M7" s="151" t="s">
        <v>19223</v>
      </c>
      <c r="N7" s="151" t="s">
        <v>19217</v>
      </c>
      <c r="O7" s="151" t="s">
        <v>19217</v>
      </c>
      <c r="P7" s="211" t="s">
        <v>2111</v>
      </c>
      <c r="Q7" s="152" t="s">
        <v>19237</v>
      </c>
      <c r="R7" s="150" t="str">
        <f ca="1">IF(ISERROR($V7),"",OFFSET('Smelter Look-up'!$C$4,$V7-4,0)&amp;"")</f>
        <v>Glencore Nikkelverk Refinery</v>
      </c>
      <c r="S7" s="156" t="str">
        <f t="shared" ca="1" si="0"/>
        <v>NO</v>
      </c>
      <c r="T7" s="156" t="str">
        <f ca="1">IF(B7="","",IF(ISERROR(MATCH($J7,SorP!$B$1:$B$6226,0)),"",INDIRECT("'SorP'!$A$"&amp;MATCH($S7&amp;$J7,SorP!C:C,0))))</f>
        <v/>
      </c>
      <c r="U7" s="169"/>
      <c r="V7" s="170">
        <f>IF(C7="",NA(),MATCH($B7&amp;$C7,'Smelter Look-up'!$J:$J,0))</f>
        <v>31</v>
      </c>
      <c r="X7" s="171">
        <f t="shared" si="1"/>
        <v>0</v>
      </c>
      <c r="AB7" s="171" t="str">
        <f t="shared" si="2"/>
        <v>CobaltGlencore Nikkelverk Refinery</v>
      </c>
    </row>
    <row r="8" spans="1:34" s="171" customFormat="1" ht="27">
      <c r="A8" s="200" t="s">
        <v>191</v>
      </c>
      <c r="B8" s="150" t="s">
        <v>43</v>
      </c>
      <c r="C8" s="153" t="s">
        <v>190</v>
      </c>
      <c r="D8" s="150"/>
      <c r="E8" s="150" t="s">
        <v>71</v>
      </c>
      <c r="F8" s="150" t="s">
        <v>191</v>
      </c>
      <c r="G8" s="150" t="s">
        <v>12</v>
      </c>
      <c r="H8" s="208" t="s">
        <v>19213</v>
      </c>
      <c r="I8" s="209" t="s">
        <v>192</v>
      </c>
      <c r="J8" s="209" t="s">
        <v>193</v>
      </c>
      <c r="K8" s="151" t="s">
        <v>19224</v>
      </c>
      <c r="L8" s="151" t="s">
        <v>19225</v>
      </c>
      <c r="M8" s="151" t="s">
        <v>19216</v>
      </c>
      <c r="N8" s="151" t="s">
        <v>19217</v>
      </c>
      <c r="O8" s="151" t="s">
        <v>19217</v>
      </c>
      <c r="P8" s="211" t="s">
        <v>2111</v>
      </c>
      <c r="Q8" s="152" t="s">
        <v>19218</v>
      </c>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IF(C8="",NA(),MATCH($B8&amp;$C8,'Smelter Look-up'!$J:$J,0))</f>
        <v>74</v>
      </c>
      <c r="X8" s="171">
        <f t="shared" si="1"/>
        <v>0</v>
      </c>
      <c r="AB8" s="171" t="str">
        <f t="shared" si="2"/>
        <v>CobaltLanzhou Jinchuan Advanced Materials Technology Co., Ltd.</v>
      </c>
    </row>
    <row r="9" spans="1:34" s="171" customFormat="1" ht="27">
      <c r="A9" s="200" t="s">
        <v>250</v>
      </c>
      <c r="B9" s="150" t="s">
        <v>43</v>
      </c>
      <c r="C9" s="153" t="s">
        <v>12543</v>
      </c>
      <c r="D9" s="150"/>
      <c r="E9" s="150" t="s">
        <v>139</v>
      </c>
      <c r="F9" s="150" t="s">
        <v>250</v>
      </c>
      <c r="G9" s="150" t="s">
        <v>12</v>
      </c>
      <c r="H9" s="208" t="s">
        <v>19213</v>
      </c>
      <c r="I9" s="209" t="s">
        <v>251</v>
      </c>
      <c r="J9" s="209" t="s">
        <v>252</v>
      </c>
      <c r="K9" s="151" t="s">
        <v>19226</v>
      </c>
      <c r="L9" s="151" t="s">
        <v>19227</v>
      </c>
      <c r="M9" s="151" t="s">
        <v>19216</v>
      </c>
      <c r="N9" s="151" t="s">
        <v>19217</v>
      </c>
      <c r="O9" s="151" t="s">
        <v>19217</v>
      </c>
      <c r="P9" s="211" t="s">
        <v>2111</v>
      </c>
      <c r="Q9" s="152" t="s">
        <v>19218</v>
      </c>
      <c r="R9" s="150" t="str">
        <f ca="1">IF(ISERROR($V9),"",OFFSET('Smelter Look-up'!$C$4,$V9-4,0)&amp;"")</f>
        <v>Niihama Nickel Refinery, Sumitomo Metal Mining</v>
      </c>
      <c r="S9" s="156" t="str">
        <f t="shared" ca="1" si="0"/>
        <v>JP</v>
      </c>
      <c r="T9" s="156" t="str">
        <f ca="1">IF(B9="","",IF(ISERROR(MATCH($J9,SorP!$B$1:$B$6226,0)),"",INDIRECT("'SorP'!$A$"&amp;MATCH($S9&amp;$J9,SorP!C:C,0))))</f>
        <v>JP-38</v>
      </c>
      <c r="U9" s="169"/>
      <c r="V9" s="170">
        <f>IF(C9="",NA(),MATCH($B9&amp;$C9,'Smelter Look-up'!$J:$J,0))</f>
        <v>108</v>
      </c>
      <c r="X9" s="171">
        <f t="shared" si="1"/>
        <v>0</v>
      </c>
      <c r="AB9" s="171" t="str">
        <f t="shared" si="2"/>
        <v>CobaltNiihama Nickel Refinery, Sumitomo Metal Mining</v>
      </c>
    </row>
    <row r="10" spans="1:34" s="171" customFormat="1" ht="27">
      <c r="A10" s="200" t="s">
        <v>259</v>
      </c>
      <c r="B10" s="150" t="s">
        <v>43</v>
      </c>
      <c r="C10" s="153" t="s">
        <v>258</v>
      </c>
      <c r="D10" s="150"/>
      <c r="E10" s="150" t="s">
        <v>107</v>
      </c>
      <c r="F10" s="150" t="s">
        <v>259</v>
      </c>
      <c r="G10" s="150" t="s">
        <v>12</v>
      </c>
      <c r="H10" s="208" t="s">
        <v>19213</v>
      </c>
      <c r="I10" s="209" t="s">
        <v>260</v>
      </c>
      <c r="J10" s="209" t="s">
        <v>261</v>
      </c>
      <c r="K10" s="151" t="s">
        <v>19228</v>
      </c>
      <c r="L10" s="151" t="s">
        <v>19229</v>
      </c>
      <c r="M10" s="151" t="s">
        <v>19216</v>
      </c>
      <c r="N10" s="151" t="s">
        <v>19217</v>
      </c>
      <c r="O10" s="151" t="s">
        <v>19217</v>
      </c>
      <c r="P10" s="211" t="s">
        <v>2111</v>
      </c>
      <c r="Q10" s="152" t="s">
        <v>19218</v>
      </c>
      <c r="R10" s="150" t="str">
        <f ca="1">IF(ISERROR($V10),"",OFFSET('Smelter Look-up'!$C$4,$V10-4,0)&amp;"")</f>
        <v>NORILSK NICKEL HARJAVALTA OY</v>
      </c>
      <c r="S10" s="156" t="str">
        <f t="shared" ca="1" si="0"/>
        <v>FI</v>
      </c>
      <c r="T10" s="156" t="str">
        <f ca="1">IF(B10="","",IF(ISERROR(MATCH($J10,SorP!$B$1:$B$6226,0)),"",INDIRECT("'SorP'!$A$"&amp;MATCH($S10&amp;$J10,SorP!C:C,0))))</f>
        <v>FI-17</v>
      </c>
      <c r="U10" s="169"/>
      <c r="V10" s="170">
        <f>IF(C10="",NA(),MATCH($B10&amp;$C10,'Smelter Look-up'!$J:$J,0))</f>
        <v>111</v>
      </c>
      <c r="X10" s="171">
        <f t="shared" si="1"/>
        <v>0</v>
      </c>
      <c r="AB10" s="171" t="str">
        <f t="shared" si="2"/>
        <v>CobaltNORILSK NICKEL HARJAVALTA OY</v>
      </c>
    </row>
    <row r="11" spans="1:34" s="171" customFormat="1" ht="27">
      <c r="A11" s="201" t="s">
        <v>271</v>
      </c>
      <c r="B11" s="150" t="s">
        <v>43</v>
      </c>
      <c r="C11" s="153" t="s">
        <v>270</v>
      </c>
      <c r="D11" s="150"/>
      <c r="E11" s="150" t="s">
        <v>71</v>
      </c>
      <c r="F11" s="150" t="s">
        <v>271</v>
      </c>
      <c r="G11" s="150" t="s">
        <v>12</v>
      </c>
      <c r="H11" s="208" t="s">
        <v>19213</v>
      </c>
      <c r="I11" s="209" t="s">
        <v>272</v>
      </c>
      <c r="J11" s="209" t="s">
        <v>211</v>
      </c>
      <c r="K11" s="151" t="s">
        <v>19230</v>
      </c>
      <c r="L11" s="151" t="s">
        <v>19231</v>
      </c>
      <c r="M11" s="151" t="s">
        <v>19216</v>
      </c>
      <c r="N11" s="151" t="s">
        <v>19217</v>
      </c>
      <c r="O11" s="151" t="s">
        <v>19217</v>
      </c>
      <c r="P11" s="211" t="s">
        <v>2111</v>
      </c>
      <c r="Q11" s="152" t="s">
        <v>19218</v>
      </c>
      <c r="R11" s="150" t="str">
        <f ca="1">IF(ISERROR($V11),"",OFFSET('Smelter Look-up'!$C$4,$V11-4,0)&amp;"")</f>
        <v>Quzhou Huayou Cobalt New Material Co., Ltd.</v>
      </c>
      <c r="S11" s="156" t="str">
        <f t="shared" ca="1" si="0"/>
        <v>CN</v>
      </c>
      <c r="T11" s="156" t="str">
        <f ca="1">IF(B11="","",IF(ISERROR(MATCH($J11,SorP!$B$1:$B$6226,0)),"",INDIRECT("'SorP'!$A$"&amp;MATCH($S11&amp;$J11,SorP!C:C,0))))</f>
        <v>CN-ZJ</v>
      </c>
      <c r="U11" s="169"/>
      <c r="V11" s="170">
        <f>IF(C11="",NA(),MATCH($B11&amp;$C11,'Smelter Look-up'!$J:$J,0))</f>
        <v>118</v>
      </c>
      <c r="X11" s="171">
        <f t="shared" si="1"/>
        <v>0</v>
      </c>
      <c r="AB11" s="171" t="str">
        <f t="shared" si="2"/>
        <v>CobaltQuzhou Huayou Cobalt New Material Co., Ltd.</v>
      </c>
    </row>
    <row r="12" spans="1:34" s="171" customFormat="1" ht="27">
      <c r="A12" s="200" t="s">
        <v>108</v>
      </c>
      <c r="B12" s="150" t="s">
        <v>43</v>
      </c>
      <c r="C12" s="153" t="s">
        <v>106</v>
      </c>
      <c r="D12" s="150"/>
      <c r="E12" s="150" t="s">
        <v>107</v>
      </c>
      <c r="F12" s="150" t="s">
        <v>108</v>
      </c>
      <c r="G12" s="150" t="s">
        <v>12</v>
      </c>
      <c r="H12" s="208" t="s">
        <v>19213</v>
      </c>
      <c r="I12" s="209" t="s">
        <v>109</v>
      </c>
      <c r="J12" s="209" t="s">
        <v>110</v>
      </c>
      <c r="K12" s="151" t="s">
        <v>19232</v>
      </c>
      <c r="L12" s="151" t="s">
        <v>19233</v>
      </c>
      <c r="M12" s="151" t="s">
        <v>19216</v>
      </c>
      <c r="N12" s="151" t="s">
        <v>19217</v>
      </c>
      <c r="O12" s="151" t="s">
        <v>19217</v>
      </c>
      <c r="P12" s="211" t="s">
        <v>2111</v>
      </c>
      <c r="Q12" s="152" t="s">
        <v>19218</v>
      </c>
      <c r="R12" s="150" t="str">
        <f ca="1">IF(ISERROR($V12),"",OFFSET('Smelter Look-up'!$C$4,$V12-4,0)&amp;"")</f>
        <v>Umicore Finland Oy</v>
      </c>
      <c r="S12" s="156" t="str">
        <f t="shared" ca="1" si="0"/>
        <v>FI</v>
      </c>
      <c r="T12" s="156" t="str">
        <f ca="1">IF(B12="","",IF(ISERROR(MATCH($J12,SorP!$B$1:$B$6226,0)),"",INDIRECT("'SorP'!$A$"&amp;MATCH($S12&amp;$J12,SorP!C:C,0))))</f>
        <v>FI-07</v>
      </c>
      <c r="U12" s="169"/>
      <c r="V12" s="170">
        <f>IF(C12="",NA(),MATCH($B12&amp;$C12,'Smelter Look-up'!$J:$J,0))</f>
        <v>138</v>
      </c>
      <c r="X12" s="171">
        <f t="shared" si="1"/>
        <v>0</v>
      </c>
      <c r="AB12" s="171" t="str">
        <f t="shared" si="2"/>
        <v>CobaltUmicore Finland Oy</v>
      </c>
    </row>
    <row r="13" spans="1:34" s="171" customFormat="1" ht="27">
      <c r="A13" s="200" t="s">
        <v>291</v>
      </c>
      <c r="B13" s="150" t="s">
        <v>43</v>
      </c>
      <c r="C13" s="153" t="s">
        <v>289</v>
      </c>
      <c r="D13" s="150"/>
      <c r="E13" s="150" t="s">
        <v>290</v>
      </c>
      <c r="F13" s="150" t="s">
        <v>291</v>
      </c>
      <c r="G13" s="150" t="s">
        <v>12</v>
      </c>
      <c r="H13" s="208" t="s">
        <v>19213</v>
      </c>
      <c r="I13" s="209" t="s">
        <v>292</v>
      </c>
      <c r="J13" s="209" t="s">
        <v>293</v>
      </c>
      <c r="K13" s="151" t="s">
        <v>19234</v>
      </c>
      <c r="L13" s="151" t="s">
        <v>19235</v>
      </c>
      <c r="M13" s="151" t="s">
        <v>19216</v>
      </c>
      <c r="N13" s="151" t="s">
        <v>19217</v>
      </c>
      <c r="O13" s="151" t="s">
        <v>19217</v>
      </c>
      <c r="P13" s="211" t="s">
        <v>2111</v>
      </c>
      <c r="Q13" s="152" t="s">
        <v>19218</v>
      </c>
      <c r="R13" s="150" t="str">
        <f ca="1">IF(ISERROR($V13),"",OFFSET('Smelter Look-up'!$C$4,$V13-4,0)&amp;"")</f>
        <v>Umicore Olen</v>
      </c>
      <c r="S13" s="156" t="str">
        <f t="shared" ca="1" si="0"/>
        <v>BE</v>
      </c>
      <c r="T13" s="156" t="str">
        <f ca="1">IF(B13="","",IF(ISERROR(MATCH($J13,SorP!$B$1:$B$6226,0)),"",INDIRECT("'SorP'!$A$"&amp;MATCH($S13&amp;$J13,SorP!C:C,0))))</f>
        <v>BE-VAN</v>
      </c>
      <c r="U13" s="169"/>
      <c r="V13" s="170">
        <f>IF(C13="",NA(),MATCH($B13&amp;$C13,'Smelter Look-up'!$J:$J,0))</f>
        <v>139</v>
      </c>
      <c r="X13" s="171">
        <f t="shared" si="1"/>
        <v>0</v>
      </c>
      <c r="AB13" s="171" t="str">
        <f t="shared" si="2"/>
        <v>CobaltUmicore Olen</v>
      </c>
    </row>
    <row r="14" spans="1:34" s="171" customFormat="1" ht="20">
      <c r="A14" s="201" t="s">
        <v>314</v>
      </c>
      <c r="B14" s="150" t="s">
        <v>43</v>
      </c>
      <c r="C14" s="153" t="s">
        <v>313</v>
      </c>
      <c r="D14" s="150"/>
      <c r="E14" s="150" t="s">
        <v>71</v>
      </c>
      <c r="F14" s="150" t="s">
        <v>314</v>
      </c>
      <c r="G14" s="150" t="s">
        <v>12</v>
      </c>
      <c r="H14" s="208" t="s">
        <v>19213</v>
      </c>
      <c r="I14" s="209" t="s">
        <v>315</v>
      </c>
      <c r="J14" s="209" t="s">
        <v>211</v>
      </c>
      <c r="K14" s="151" t="s">
        <v>19230</v>
      </c>
      <c r="L14" s="151" t="s">
        <v>19231</v>
      </c>
      <c r="M14" s="151" t="s">
        <v>19216</v>
      </c>
      <c r="N14" s="151" t="s">
        <v>19217</v>
      </c>
      <c r="O14" s="151" t="s">
        <v>19217</v>
      </c>
      <c r="P14" s="211" t="s">
        <v>2111</v>
      </c>
      <c r="Q14" s="152" t="s">
        <v>19218</v>
      </c>
      <c r="R14" s="150" t="str">
        <f ca="1">IF(ISERROR($V14),"",OFFSET('Smelter Look-up'!$C$4,$V14-4,0)&amp;"")</f>
        <v>Zhejiang Huayou Cobalt Company Limited</v>
      </c>
      <c r="S14" s="156" t="str">
        <f t="shared" ca="1" si="0"/>
        <v>CN</v>
      </c>
      <c r="T14" s="156" t="str">
        <f ca="1">IF(B14="","",IF(ISERROR(MATCH($J14,SorP!$B$1:$B$6226,0)),"",INDIRECT("'SorP'!$A$"&amp;MATCH($S14&amp;$J14,SorP!C:C,0))))</f>
        <v>CN-ZJ</v>
      </c>
      <c r="U14" s="169"/>
      <c r="V14" s="170">
        <f>IF(C14="",NA(),MATCH($B14&amp;$C14,'Smelter Look-up'!$J:$J,0))</f>
        <v>151</v>
      </c>
      <c r="X14" s="171">
        <f t="shared" si="1"/>
        <v>0</v>
      </c>
      <c r="AB14" s="171" t="str">
        <f t="shared" si="2"/>
        <v>CobaltZhejiang Huayou Cobalt Company Limited</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70" zoomScaleNormal="70" workbookViewId="0">
      <pane xSplit="1" ySplit="3" topLeftCell="B53"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Semiconductor Components Industries, LLC dba onsemi</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Edwin Laoreno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edwin.laoreno@onsemi.com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(408) 822-2600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Michelle Lando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michelle.lando@onsemi.com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(602) 244-6600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45747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https://www.onsemi.com/site/pdf/Conflict_Mineral_Policy.pdf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0B0C1C9-7875-4687-A3C4-EF2DDC1A6150}"/>
    </customSheetView>
    <customSheetView guid="{4BDF1A28-30D5-449D-B20E-D6C97EF9FAE1}" showAutoFilter="1">
      <selection activeCell="C174" sqref="C174"/>
      <pageMargins left="0" right="0" top="0" bottom="0" header="0" footer="0"/>
      <pageSetup paperSize="9" orientation="portrait"/>
      <autoFilter ref="B1:N1" xr:uid="{C019A1F7-0A47-4B0C-8759-7BDD2F051B5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Edwin Laoreno</cp:lastModifiedBy>
  <cp:revision/>
  <dcterms:created xsi:type="dcterms:W3CDTF">2010-06-21T21:00:23Z</dcterms:created>
  <dcterms:modified xsi:type="dcterms:W3CDTF">2025-04-24T17:27:18Z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