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105" windowHeight="11085"/>
  </bookViews>
  <sheets>
    <sheet name="Worksheet Information" sheetId="1" r:id="rId1"/>
    <sheet name="Hidden" sheetId="4" state="hidden" r:id="rId2"/>
    <sheet name="Sheet1" sheetId="5" r:id="rId3"/>
  </sheets>
  <calcPr calcId="125725"/>
</workbook>
</file>

<file path=xl/calcChain.xml><?xml version="1.0" encoding="utf-8"?>
<calcChain xmlns="http://schemas.openxmlformats.org/spreadsheetml/2006/main">
  <c r="C41" i="1"/>
  <c r="B6" i="4" l="1"/>
  <c r="F5" s="1"/>
  <c r="G5" s="1"/>
  <c r="B5"/>
  <c r="G10" i="1"/>
  <c r="B19" s="1"/>
  <c r="B20"/>
  <c r="B21" s="1"/>
  <c r="G14"/>
  <c r="G13"/>
  <c r="H5" i="4" l="1"/>
  <c r="J5" s="1"/>
  <c r="D6"/>
  <c r="F6" s="1"/>
  <c r="G6" s="1"/>
  <c r="H6" s="1"/>
  <c r="J6" s="1"/>
  <c r="B23" i="1"/>
  <c r="F7" i="4" l="1"/>
  <c r="G7" s="1"/>
  <c r="H7" s="1"/>
  <c r="J7" s="1"/>
  <c r="K7" s="1"/>
  <c r="I6"/>
  <c r="K6"/>
  <c r="I5"/>
  <c r="K5"/>
  <c r="B24" i="1"/>
  <c r="F8" i="4" l="1"/>
  <c r="F9" s="1"/>
  <c r="B25" i="1"/>
  <c r="B22" s="1"/>
  <c r="G19" s="1"/>
  <c r="G21" s="1"/>
  <c r="B31"/>
  <c r="B33" s="1"/>
  <c r="B34" s="1"/>
  <c r="C31"/>
  <c r="C32" s="1"/>
  <c r="L6" i="4"/>
  <c r="C33" i="1"/>
  <c r="C34" s="1"/>
  <c r="G8" i="4"/>
  <c r="H8" s="1"/>
  <c r="I7"/>
  <c r="L7" s="1"/>
  <c r="E31" i="1"/>
  <c r="L5" i="4"/>
  <c r="B32" i="1" l="1"/>
  <c r="E32"/>
  <c r="E33"/>
  <c r="E34" s="1"/>
  <c r="F10" i="4"/>
  <c r="G9"/>
  <c r="H9" s="1"/>
  <c r="J8"/>
  <c r="K8" s="1"/>
  <c r="I8"/>
  <c r="L8" l="1"/>
  <c r="J9"/>
  <c r="K9" s="1"/>
  <c r="I9"/>
  <c r="G10"/>
  <c r="H10" s="1"/>
  <c r="F11"/>
  <c r="L9" l="1"/>
  <c r="F12"/>
  <c r="G11"/>
  <c r="H11" s="1"/>
  <c r="J10"/>
  <c r="K10" s="1"/>
  <c r="I10"/>
  <c r="L10" l="1"/>
  <c r="J11"/>
  <c r="K11" s="1"/>
  <c r="I11"/>
  <c r="G12"/>
  <c r="H12" s="1"/>
  <c r="F13"/>
  <c r="L11" l="1"/>
  <c r="F14"/>
  <c r="G13"/>
  <c r="H13" s="1"/>
  <c r="J12"/>
  <c r="K12" s="1"/>
  <c r="I12"/>
  <c r="L12" l="1"/>
  <c r="J13"/>
  <c r="K13" s="1"/>
  <c r="I13"/>
  <c r="G14"/>
  <c r="H14" s="1"/>
  <c r="F15"/>
  <c r="G15" s="1"/>
  <c r="H15" s="1"/>
  <c r="L13" l="1"/>
  <c r="J15"/>
  <c r="K15" s="1"/>
  <c r="I15"/>
  <c r="J14"/>
  <c r="K14" s="1"/>
  <c r="I14"/>
  <c r="L14" l="1"/>
  <c r="L15"/>
</calcChain>
</file>

<file path=xl/comments1.xml><?xml version="1.0" encoding="utf-8"?>
<comments xmlns="http://schemas.openxmlformats.org/spreadsheetml/2006/main">
  <authors>
    <author>FFXBQG</author>
    <author>Jim Young</author>
  </authors>
  <commentList>
    <comment ref="A7" authorId="0">
      <text>
        <r>
          <rPr>
            <b/>
            <sz val="10"/>
            <color indexed="81"/>
            <rFont val="Tahoma"/>
            <family val="2"/>
          </rPr>
          <t>Enter minimum input voltage for full performance.</t>
        </r>
      </text>
    </comment>
    <comment ref="A9" authorId="1">
      <text>
        <r>
          <rPr>
            <b/>
            <sz val="10"/>
            <color indexed="81"/>
            <rFont val="Tahoma"/>
            <family val="2"/>
          </rPr>
          <t>Switching frequency at minimum operating input voltage. Select a frequency to limit maximum frequency for EMI control.</t>
        </r>
      </text>
    </comment>
    <comment ref="A10" authorId="0">
      <text>
        <r>
          <rPr>
            <b/>
            <sz val="10"/>
            <color indexed="81"/>
            <rFont val="Tahoma"/>
            <family val="2"/>
          </rPr>
          <t>Efficiency term does not include losses in EMI filter and input rectifiers.  Enter a number ~1 to 2% higher than expected system efficiency.</t>
        </r>
      </text>
    </comment>
    <comment ref="G13" authorId="1">
      <text>
        <r>
          <rPr>
            <b/>
            <sz val="10"/>
            <color indexed="81"/>
            <rFont val="Tahoma"/>
            <family val="2"/>
          </rPr>
          <t>Expressed as Primary to Main Secondary turns; Pri:Sec</t>
        </r>
      </text>
    </comment>
    <comment ref="E15" authorId="1">
      <text>
        <r>
          <rPr>
            <b/>
            <sz val="10"/>
            <color indexed="81"/>
            <rFont val="Tahoma"/>
            <family val="2"/>
          </rPr>
          <t>Enter the desired turns ratio between the maximum and minimum values above. Ratio selected may vary depending on transformer design parameters.</t>
        </r>
      </text>
    </comment>
    <comment ref="A19" authorId="1">
      <text>
        <r>
          <rPr>
            <b/>
            <sz val="10"/>
            <color indexed="81"/>
            <rFont val="Tahoma"/>
            <family val="2"/>
          </rPr>
          <t>Peak power at the peak of the rectified sine wave input voltage. The transformer must support this peak power.</t>
        </r>
      </text>
    </comment>
    <comment ref="A20" authorId="1">
      <text>
        <r>
          <rPr>
            <b/>
            <sz val="10"/>
            <color indexed="81"/>
            <rFont val="Tahoma"/>
            <family val="2"/>
          </rPr>
          <t>Peak of the rectified sine wave input voltage at the minimum input voltage shown at top of the page.</t>
        </r>
      </text>
    </comment>
    <comment ref="E21" authorId="0">
      <text>
        <r>
          <rPr>
            <sz val="10"/>
            <color indexed="81"/>
            <rFont val="Tahoma"/>
            <family val="2"/>
          </rPr>
          <t xml:space="preserve">Approximate dissipation based on conduction resistance of FET.  Dynamic switching losses will affect this estimate.
</t>
        </r>
      </text>
    </comment>
    <comment ref="B28" authorId="1">
      <text>
        <r>
          <rPr>
            <b/>
            <sz val="10"/>
            <color indexed="81"/>
            <rFont val="Tahoma"/>
            <family val="2"/>
          </rPr>
          <t xml:space="preserve">Example core vendor: Ferroxcube http://www.ferroxcube.com/
</t>
        </r>
      </text>
    </comment>
    <comment ref="C28" authorId="1">
      <text>
        <r>
          <rPr>
            <b/>
            <sz val="10"/>
            <color indexed="81"/>
            <rFont val="Tahoma"/>
            <family val="2"/>
          </rPr>
          <t>Example core vendor: Ferroxcube http://www.ferroxcube.com/</t>
        </r>
      </text>
    </comment>
    <comment ref="E28" authorId="1">
      <text>
        <r>
          <rPr>
            <b/>
            <sz val="10"/>
            <color indexed="81"/>
            <rFont val="Tahoma"/>
            <family val="2"/>
          </rPr>
          <t>Enter core cross section area and maximum flux density for an alternate transformer core.</t>
        </r>
      </text>
    </comment>
    <comment ref="B30" authorId="1">
      <text>
        <r>
          <rPr>
            <b/>
            <sz val="10"/>
            <color indexed="81"/>
            <rFont val="Tahoma"/>
            <family val="2"/>
          </rPr>
          <t>Max flux density occurs only at the peak of the rectified sine wave input. Higher flux levels are acceptable due to minimum dwell time.</t>
        </r>
      </text>
    </comment>
    <comment ref="A34" authorId="1">
      <text>
        <r>
          <rPr>
            <b/>
            <sz val="10"/>
            <color indexed="81"/>
            <rFont val="Tahoma"/>
            <family val="2"/>
          </rPr>
          <t>Bias winding turns is scaled for losses in primary regulator and coupling to main output winding. Turns shown should be considered a design starting point.</t>
        </r>
      </text>
    </comment>
    <comment ref="A36" authorId="1">
      <text>
        <r>
          <rPr>
            <b/>
            <sz val="10"/>
            <color indexed="81"/>
            <rFont val="Tahoma"/>
            <family val="2"/>
          </rPr>
          <t xml:space="preserve">Establishes the maximum power limit point for the converter.
For AC line dimming applications, this sets the 'inception' point where dimming begins.
</t>
        </r>
      </text>
    </comment>
    <comment ref="A37" authorId="1">
      <text>
        <r>
          <rPr>
            <b/>
            <sz val="10"/>
            <color indexed="81"/>
            <rFont val="Tahoma"/>
            <family val="2"/>
          </rPr>
          <t>For non-dimming applications, enter a voltage ~5 Vrms below 'Minimum input' at top of this page.
For line-dimming applications, enter the equivalent Vrms where LED current begins to decrease at the LED string voltage specified below.</t>
        </r>
      </text>
    </comment>
    <comment ref="A38" authorId="1">
      <text>
        <r>
          <rPr>
            <b/>
            <sz val="10"/>
            <color indexed="81"/>
            <rFont val="Tahoma"/>
            <family val="2"/>
          </rPr>
          <t>Enter the typical LED string voltage at the power limit or dimming point.</t>
        </r>
      </text>
    </comment>
    <comment ref="A39" authorId="1">
      <text>
        <r>
          <rPr>
            <b/>
            <sz val="10"/>
            <color indexed="81"/>
            <rFont val="Tahoma"/>
            <family val="2"/>
          </rPr>
          <t>Vct(MAX) is the NCL30000 ramp voltage. Typically the minimum value from the datasheet is entered to ensure full output power.</t>
        </r>
      </text>
    </comment>
    <comment ref="A40" authorId="1">
      <text>
        <r>
          <rPr>
            <b/>
            <sz val="10"/>
            <color indexed="81"/>
            <rFont val="Tahoma"/>
            <family val="2"/>
          </rPr>
          <t>Icharge is the current from NCL30000 charging the ramp capacitor. Typcially the highest value from the datasheet is entered to ensure full output power can be supplied.</t>
        </r>
      </text>
    </comment>
    <comment ref="A41" authorId="1">
      <text>
        <r>
          <rPr>
            <b/>
            <sz val="10"/>
            <color indexed="81"/>
            <rFont val="Tahoma"/>
            <family val="2"/>
          </rPr>
          <t>This is a starting point for Ct timing capacitor value. In practice a somewhat lower value provides better dimming range control.</t>
        </r>
      </text>
    </comment>
  </commentList>
</comments>
</file>

<file path=xl/sharedStrings.xml><?xml version="1.0" encoding="utf-8"?>
<sst xmlns="http://schemas.openxmlformats.org/spreadsheetml/2006/main" count="103" uniqueCount="84">
  <si>
    <t>ON time</t>
  </si>
  <si>
    <t>Transformer Design</t>
  </si>
  <si>
    <t>Core area</t>
  </si>
  <si>
    <t>Primary turns</t>
  </si>
  <si>
    <t>turns</t>
  </si>
  <si>
    <t>inches</t>
  </si>
  <si>
    <t>Secondary turns</t>
  </si>
  <si>
    <t>OFF time</t>
  </si>
  <si>
    <t>Gauss</t>
  </si>
  <si>
    <t>Min peak voltage</t>
  </si>
  <si>
    <t>EFD25</t>
  </si>
  <si>
    <t>EFD20</t>
  </si>
  <si>
    <t>Custom</t>
  </si>
  <si>
    <t>Maximum ratio</t>
  </si>
  <si>
    <t>Minimum ratio</t>
  </si>
  <si>
    <t>Core type</t>
  </si>
  <si>
    <t>Ct capacitor</t>
  </si>
  <si>
    <t>Enter Design Data</t>
  </si>
  <si>
    <t>Derating factor</t>
  </si>
  <si>
    <t>Enter desired ratio</t>
  </si>
  <si>
    <t>Bias winding turns</t>
  </si>
  <si>
    <t>Design Calculations</t>
  </si>
  <si>
    <t>kHz</t>
  </si>
  <si>
    <t>mA</t>
  </si>
  <si>
    <t>Calculate On-time capacitor</t>
  </si>
  <si>
    <t>V rms</t>
  </si>
  <si>
    <t>V dc</t>
  </si>
  <si>
    <t>LED Current</t>
  </si>
  <si>
    <t>V</t>
  </si>
  <si>
    <t>W</t>
  </si>
  <si>
    <t>A</t>
  </si>
  <si>
    <r>
      <t>cm</t>
    </r>
    <r>
      <rPr>
        <b/>
        <sz val="10"/>
        <rFont val="Arial"/>
        <family val="2"/>
      </rPr>
      <t>²</t>
    </r>
  </si>
  <si>
    <t>Graph10 points</t>
  </si>
  <si>
    <t>μS</t>
  </si>
  <si>
    <r>
      <t>p</t>
    </r>
    <r>
      <rPr>
        <b/>
        <sz val="10"/>
        <rFont val="Arial"/>
        <family val="2"/>
      </rPr>
      <t>F</t>
    </r>
  </si>
  <si>
    <t>:1</t>
  </si>
  <si>
    <t>Switching frequency</t>
  </si>
  <si>
    <t>Default inputs in gray</t>
  </si>
  <si>
    <t>Max in</t>
  </si>
  <si>
    <t>Min in</t>
  </si>
  <si>
    <t>Peak</t>
  </si>
  <si>
    <t xml:space="preserve">in V </t>
  </si>
  <si>
    <t>RMS data</t>
  </si>
  <si>
    <t>points</t>
  </si>
  <si>
    <t>Primary</t>
  </si>
  <si>
    <t>current</t>
  </si>
  <si>
    <t xml:space="preserve">On  </t>
  </si>
  <si>
    <t>Time</t>
  </si>
  <si>
    <t>Secondary</t>
  </si>
  <si>
    <t xml:space="preserve">Off   </t>
  </si>
  <si>
    <t>time</t>
  </si>
  <si>
    <t>Switching</t>
  </si>
  <si>
    <t>frequency</t>
  </si>
  <si>
    <t>Primary Inductance</t>
  </si>
  <si>
    <t xml:space="preserve">Note that this is a general tool to assist designers in using the controller: the output is a  </t>
  </si>
  <si>
    <t>guideline and does not guarantee the success of a particular system design.</t>
  </si>
  <si>
    <t>Transformer turns ratio</t>
  </si>
  <si>
    <t>Maximum LED voltage</t>
  </si>
  <si>
    <t>Minimum LED voltage</t>
  </si>
  <si>
    <t>Maximum LED power</t>
  </si>
  <si>
    <t>FET voltge rating</t>
  </si>
  <si>
    <t>Diode voltage rating</t>
  </si>
  <si>
    <t>Peak primary current</t>
  </si>
  <si>
    <t>Peak secondary current</t>
  </si>
  <si>
    <t>Maximum flux density</t>
  </si>
  <si>
    <t>Total core gap</t>
  </si>
  <si>
    <t>User inputs in green</t>
  </si>
  <si>
    <r>
      <t>μ</t>
    </r>
    <r>
      <rPr>
        <b/>
        <sz val="10"/>
        <rFont val="Arial"/>
        <family val="2"/>
      </rPr>
      <t>H</t>
    </r>
  </si>
  <si>
    <t>Estimated efficiency</t>
  </si>
  <si>
    <t>%</t>
  </si>
  <si>
    <t>Min operating input</t>
  </si>
  <si>
    <t>Max operating input</t>
  </si>
  <si>
    <t>Actual LED load voltage</t>
  </si>
  <si>
    <t>Minimum regulation input</t>
  </si>
  <si>
    <t>RMS switch current</t>
  </si>
  <si>
    <t>FET Rdson</t>
  </si>
  <si>
    <t>FET dissipation</t>
  </si>
  <si>
    <t>ohms</t>
  </si>
  <si>
    <t>FET Parameters</t>
  </si>
  <si>
    <t>Enter FET and Output Rectifier ratings</t>
  </si>
  <si>
    <t>Peak processed power</t>
  </si>
  <si>
    <t>Rev 3.1 - Jim Young  Aug 2012</t>
  </si>
  <si>
    <t>Vct(min)</t>
  </si>
  <si>
    <t>Icharge (max)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</si>
</sst>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81"/>
      <name val="Tahom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b/>
      <sz val="10"/>
      <color rgb="FF008000"/>
      <name val="Arial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5" fontId="0" fillId="0" borderId="0" xfId="0" applyNumberFormat="1"/>
    <xf numFmtId="1" fontId="0" fillId="0" borderId="0" xfId="0" applyNumberFormat="1"/>
    <xf numFmtId="164" fontId="0" fillId="0" borderId="0" xfId="0" applyNumberFormat="1"/>
    <xf numFmtId="11" fontId="0" fillId="0" borderId="0" xfId="0" applyNumberFormat="1"/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/>
    <xf numFmtId="48" fontId="0" fillId="0" borderId="0" xfId="0" applyNumberFormat="1" applyFill="1"/>
    <xf numFmtId="166" fontId="0" fillId="0" borderId="0" xfId="0" applyNumberFormat="1" applyFill="1"/>
    <xf numFmtId="0" fontId="0" fillId="0" borderId="0" xfId="0" applyBorder="1"/>
    <xf numFmtId="0" fontId="2" fillId="0" borderId="0" xfId="0" applyFont="1" applyBorder="1"/>
    <xf numFmtId="0" fontId="2" fillId="0" borderId="1" xfId="0" applyFont="1" applyBorder="1"/>
    <xf numFmtId="1" fontId="0" fillId="0" borderId="0" xfId="0" applyNumberFormat="1" applyFill="1"/>
    <xf numFmtId="0" fontId="0" fillId="0" borderId="0" xfId="0" applyFill="1" applyProtection="1">
      <protection locked="0"/>
    </xf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2" fillId="0" borderId="9" xfId="0" applyFont="1" applyBorder="1"/>
    <xf numFmtId="0" fontId="0" fillId="0" borderId="9" xfId="0" applyBorder="1"/>
    <xf numFmtId="0" fontId="0" fillId="0" borderId="4" xfId="0" applyBorder="1"/>
    <xf numFmtId="0" fontId="5" fillId="0" borderId="6" xfId="0" applyFont="1" applyBorder="1"/>
    <xf numFmtId="1" fontId="0" fillId="0" borderId="3" xfId="0" applyNumberFormat="1" applyBorder="1"/>
    <xf numFmtId="0" fontId="0" fillId="0" borderId="7" xfId="0" applyFill="1" applyBorder="1"/>
    <xf numFmtId="0" fontId="5" fillId="0" borderId="9" xfId="0" applyFont="1" applyBorder="1"/>
    <xf numFmtId="0" fontId="0" fillId="0" borderId="10" xfId="0" applyBorder="1"/>
    <xf numFmtId="0" fontId="0" fillId="2" borderId="0" xfId="0" applyFill="1" applyBorder="1" applyProtection="1">
      <protection locked="0"/>
    </xf>
    <xf numFmtId="48" fontId="0" fillId="2" borderId="0" xfId="0" applyNumberFormat="1" applyFill="1" applyBorder="1" applyProtection="1">
      <protection locked="0"/>
    </xf>
    <xf numFmtId="0" fontId="0" fillId="0" borderId="0" xfId="0" applyAlignment="1"/>
    <xf numFmtId="0" fontId="3" fillId="0" borderId="0" xfId="0" applyFont="1" applyAlignment="1"/>
    <xf numFmtId="0" fontId="6" fillId="0" borderId="0" xfId="0" applyFont="1"/>
    <xf numFmtId="0" fontId="7" fillId="3" borderId="3" xfId="0" applyFont="1" applyFill="1" applyBorder="1" applyProtection="1">
      <protection locked="0"/>
    </xf>
    <xf numFmtId="0" fontId="7" fillId="3" borderId="0" xfId="0" applyFont="1" applyFill="1" applyBorder="1" applyProtection="1">
      <protection locked="0"/>
    </xf>
    <xf numFmtId="0" fontId="7" fillId="3" borderId="8" xfId="0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164" fontId="7" fillId="3" borderId="3" xfId="0" applyNumberFormat="1" applyFont="1" applyFill="1" applyBorder="1" applyProtection="1">
      <protection locked="0"/>
    </xf>
    <xf numFmtId="164" fontId="7" fillId="3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/>
    <xf numFmtId="164" fontId="8" fillId="0" borderId="3" xfId="0" applyNumberFormat="1" applyFont="1" applyFill="1" applyBorder="1"/>
    <xf numFmtId="164" fontId="8" fillId="0" borderId="11" xfId="0" applyNumberFormat="1" applyFont="1" applyFill="1" applyBorder="1"/>
    <xf numFmtId="164" fontId="8" fillId="0" borderId="0" xfId="0" applyNumberFormat="1" applyFont="1" applyFill="1" applyBorder="1"/>
    <xf numFmtId="2" fontId="8" fillId="0" borderId="0" xfId="0" applyNumberFormat="1" applyFont="1" applyFill="1" applyBorder="1"/>
    <xf numFmtId="2" fontId="8" fillId="0" borderId="8" xfId="0" applyNumberFormat="1" applyFont="1" applyFill="1" applyBorder="1"/>
    <xf numFmtId="0" fontId="8" fillId="0" borderId="0" xfId="0" applyFont="1" applyFill="1" applyBorder="1"/>
    <xf numFmtId="0" fontId="8" fillId="0" borderId="0" xfId="0" applyFont="1" applyBorder="1"/>
    <xf numFmtId="165" fontId="8" fillId="0" borderId="0" xfId="0" applyNumberFormat="1" applyFont="1" applyFill="1" applyBorder="1"/>
    <xf numFmtId="164" fontId="8" fillId="0" borderId="8" xfId="0" applyNumberFormat="1" applyFont="1" applyFill="1" applyBorder="1"/>
    <xf numFmtId="1" fontId="8" fillId="0" borderId="8" xfId="0" applyNumberFormat="1" applyFont="1" applyFill="1" applyBorder="1"/>
    <xf numFmtId="0" fontId="7" fillId="3" borderId="0" xfId="0" applyFont="1" applyFill="1"/>
    <xf numFmtId="1" fontId="8" fillId="0" borderId="0" xfId="0" applyNumberFormat="1" applyFont="1" applyFill="1" applyBorder="1"/>
    <xf numFmtId="0" fontId="9" fillId="0" borderId="0" xfId="0" applyFont="1"/>
    <xf numFmtId="0" fontId="2" fillId="0" borderId="13" xfId="0" applyFont="1" applyBorder="1" applyProtection="1"/>
    <xf numFmtId="0" fontId="10" fillId="4" borderId="12" xfId="0" applyFont="1" applyFill="1" applyBorder="1" applyProtection="1">
      <protection locked="0"/>
    </xf>
    <xf numFmtId="0" fontId="9" fillId="0" borderId="2" xfId="0" applyFont="1" applyBorder="1"/>
    <xf numFmtId="0" fontId="9" fillId="0" borderId="5" xfId="0" applyFont="1" applyBorder="1"/>
    <xf numFmtId="0" fontId="0" fillId="0" borderId="0" xfId="0" applyAlignment="1"/>
    <xf numFmtId="0" fontId="0" fillId="0" borderId="14" xfId="0" applyBorder="1"/>
    <xf numFmtId="2" fontId="8" fillId="0" borderId="3" xfId="0" applyNumberFormat="1" applyFont="1" applyFill="1" applyBorder="1"/>
    <xf numFmtId="2" fontId="8" fillId="4" borderId="0" xfId="0" applyNumberFormat="1" applyFont="1" applyFill="1" applyBorder="1"/>
    <xf numFmtId="0" fontId="2" fillId="0" borderId="0" xfId="0" applyFont="1" applyBorder="1" applyProtection="1"/>
    <xf numFmtId="0" fontId="2" fillId="0" borderId="12" xfId="0" applyFont="1" applyBorder="1"/>
    <xf numFmtId="0" fontId="0" fillId="0" borderId="0" xfId="0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0" fillId="0" borderId="6" xfId="0" applyBorder="1"/>
    <xf numFmtId="0" fontId="2" fillId="0" borderId="5" xfId="0" applyFont="1" applyBorder="1"/>
    <xf numFmtId="0" fontId="0" fillId="0" borderId="15" xfId="0" applyBorder="1" applyProtection="1">
      <protection locked="0"/>
    </xf>
    <xf numFmtId="11" fontId="8" fillId="0" borderId="0" xfId="0" applyNumberFormat="1" applyFont="1" applyFill="1" applyBorder="1"/>
    <xf numFmtId="0" fontId="0" fillId="0" borderId="7" xfId="0" applyBorder="1" applyAlignment="1"/>
    <xf numFmtId="0" fontId="0" fillId="0" borderId="8" xfId="0" applyBorder="1" applyAlignment="1"/>
    <xf numFmtId="0" fontId="3" fillId="0" borderId="0" xfId="0" applyFont="1" applyAlignment="1"/>
    <xf numFmtId="0" fontId="0" fillId="0" borderId="0" xfId="0" applyAlignment="1"/>
    <xf numFmtId="0" fontId="9" fillId="0" borderId="2" xfId="0" applyFont="1" applyBorder="1" applyAlignment="1"/>
    <xf numFmtId="0" fontId="0" fillId="0" borderId="3" xfId="0" applyBorder="1" applyAlignment="1"/>
    <xf numFmtId="0" fontId="9" fillId="0" borderId="5" xfId="0" applyFont="1" applyFill="1" applyBorder="1" applyAlignment="1"/>
    <xf numFmtId="0" fontId="0" fillId="0" borderId="5" xfId="0" applyBorder="1" applyAlignment="1"/>
    <xf numFmtId="0" fontId="0" fillId="2" borderId="0" xfId="0" applyFill="1" applyAlignment="1"/>
    <xf numFmtId="0" fontId="2" fillId="0" borderId="8" xfId="0" applyFont="1" applyBorder="1" applyAlignment="1"/>
    <xf numFmtId="0" fontId="0" fillId="0" borderId="0" xfId="0" applyBorder="1" applyAlignment="1"/>
    <xf numFmtId="0" fontId="0" fillId="0" borderId="2" xfId="0" applyBorder="1" applyAlignment="1"/>
    <xf numFmtId="0" fontId="2" fillId="0" borderId="0" xfId="0" applyFont="1" applyFill="1" applyBorder="1" applyAlignment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99FF99"/>
      <color rgb="FF008000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</xdr:rowOff>
    </xdr:from>
    <xdr:to>
      <xdr:col>0</xdr:col>
      <xdr:colOff>981075</xdr:colOff>
      <xdr:row>0</xdr:row>
      <xdr:rowOff>781050</xdr:rowOff>
    </xdr:to>
    <xdr:pic>
      <xdr:nvPicPr>
        <xdr:cNvPr id="1026" name="Picture 2" descr="ONBall3D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"/>
          <a:ext cx="828675" cy="771525"/>
        </a:xfrm>
        <a:prstGeom prst="rect">
          <a:avLst/>
        </a:prstGeom>
        <a:noFill/>
      </xdr:spPr>
    </xdr:pic>
    <xdr:clientData/>
  </xdr:twoCellAnchor>
  <xdr:oneCellAnchor>
    <xdr:from>
      <xdr:col>0</xdr:col>
      <xdr:colOff>1228725</xdr:colOff>
      <xdr:row>0</xdr:row>
      <xdr:rowOff>19049</xdr:rowOff>
    </xdr:from>
    <xdr:ext cx="4257675" cy="35242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28725" y="19049"/>
          <a:ext cx="4257675" cy="3524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  <xdr:txBody>
        <a:bodyPr wrap="square" lIns="36576" tIns="41148" rIns="0" bIns="0" anchor="t" upright="1">
          <a:noAutofit/>
        </a:bodyPr>
        <a:lstStyle/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Flyback NCL30000 Design Worksheet</a:t>
          </a:r>
        </a:p>
      </xdr:txBody>
    </xdr:sp>
    <xdr:clientData/>
  </xdr:oneCellAnchor>
  <xdr:oneCellAnchor>
    <xdr:from>
      <xdr:col>1</xdr:col>
      <xdr:colOff>304800</xdr:colOff>
      <xdr:row>0</xdr:row>
      <xdr:rowOff>466725</xdr:rowOff>
    </xdr:from>
    <xdr:ext cx="3816238" cy="204736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657350" y="466725"/>
          <a:ext cx="3816238" cy="204736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Isolated High Power Factor Single Stage LED Driver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defaultGridColor="0" topLeftCell="A16" colorId="9" workbookViewId="0">
      <selection activeCell="B30" sqref="B30"/>
    </sheetView>
  </sheetViews>
  <sheetFormatPr defaultRowHeight="12.75"/>
  <cols>
    <col min="1" max="1" width="20.28515625" customWidth="1"/>
    <col min="2" max="2" width="9.5703125" customWidth="1"/>
    <col min="3" max="3" width="8.140625" customWidth="1"/>
    <col min="4" max="4" width="2.28515625" customWidth="1"/>
    <col min="5" max="5" width="12.28515625" customWidth="1"/>
    <col min="6" max="6" width="9.5703125" customWidth="1"/>
    <col min="7" max="7" width="9.7109375" customWidth="1"/>
    <col min="8" max="8" width="10.140625" customWidth="1"/>
    <col min="9" max="9" width="9.5703125" customWidth="1"/>
    <col min="12" max="12" width="10.140625" customWidth="1"/>
  </cols>
  <sheetData>
    <row r="1" spans="1:12" ht="62.25" customHeight="1">
      <c r="B1" s="74"/>
      <c r="C1" s="75"/>
      <c r="D1" s="75"/>
      <c r="E1" s="75"/>
      <c r="F1" s="75"/>
      <c r="G1" s="75"/>
      <c r="H1" s="75"/>
    </row>
    <row r="2" spans="1:12" ht="13.5" customHeight="1">
      <c r="A2" s="35" t="s">
        <v>54</v>
      </c>
      <c r="B2" s="34"/>
      <c r="C2" s="33"/>
      <c r="D2" s="60"/>
      <c r="E2" s="33"/>
      <c r="F2" s="33"/>
      <c r="G2" s="33"/>
      <c r="H2" s="33"/>
    </row>
    <row r="3" spans="1:12" ht="13.5" customHeight="1">
      <c r="A3" s="35" t="s">
        <v>55</v>
      </c>
      <c r="B3" s="34"/>
      <c r="C3" s="33"/>
      <c r="D3" s="60"/>
      <c r="E3" s="33"/>
      <c r="F3" s="33"/>
      <c r="G3" s="33"/>
      <c r="H3" s="33"/>
    </row>
    <row r="4" spans="1:12">
      <c r="A4" s="53" t="s">
        <v>66</v>
      </c>
      <c r="B4" s="80" t="s">
        <v>37</v>
      </c>
      <c r="C4" s="75"/>
      <c r="D4" s="60"/>
      <c r="F4" s="55" t="s">
        <v>81</v>
      </c>
      <c r="G4" s="1"/>
    </row>
    <row r="6" spans="1:12" ht="14.1" customHeight="1" thickBot="1">
      <c r="A6" s="8" t="s">
        <v>17</v>
      </c>
    </row>
    <row r="7" spans="1:12" ht="14.1" customHeight="1" thickTop="1">
      <c r="A7" s="58" t="s">
        <v>70</v>
      </c>
      <c r="B7" s="36">
        <v>90</v>
      </c>
      <c r="C7" s="17" t="s">
        <v>25</v>
      </c>
      <c r="D7" s="17"/>
      <c r="E7" s="77" t="s">
        <v>27</v>
      </c>
      <c r="F7" s="77"/>
      <c r="G7" s="36">
        <v>350</v>
      </c>
      <c r="H7" s="19" t="s">
        <v>23</v>
      </c>
    </row>
    <row r="8" spans="1:12" ht="14.1" customHeight="1">
      <c r="A8" s="59" t="s">
        <v>71</v>
      </c>
      <c r="B8" s="37">
        <v>305</v>
      </c>
      <c r="C8" s="12" t="s">
        <v>25</v>
      </c>
      <c r="D8" s="12"/>
      <c r="E8" s="82" t="s">
        <v>57</v>
      </c>
      <c r="F8" s="82"/>
      <c r="G8" s="37">
        <v>50</v>
      </c>
      <c r="H8" s="21" t="s">
        <v>26</v>
      </c>
      <c r="K8" s="11"/>
      <c r="L8" s="11"/>
    </row>
    <row r="9" spans="1:12" ht="14.1" customHeight="1" thickBot="1">
      <c r="A9" s="20" t="s">
        <v>36</v>
      </c>
      <c r="B9" s="37">
        <v>45</v>
      </c>
      <c r="C9" s="12" t="s">
        <v>22</v>
      </c>
      <c r="D9" s="65"/>
      <c r="E9" s="73" t="s">
        <v>58</v>
      </c>
      <c r="F9" s="73"/>
      <c r="G9" s="38">
        <v>12</v>
      </c>
      <c r="H9" s="23" t="s">
        <v>26</v>
      </c>
      <c r="K9" s="11"/>
      <c r="L9" s="11"/>
    </row>
    <row r="10" spans="1:12" ht="14.1" customHeight="1" thickTop="1" thickBot="1">
      <c r="A10" s="70" t="s">
        <v>68</v>
      </c>
      <c r="B10" s="57">
        <v>85</v>
      </c>
      <c r="C10" s="56" t="s">
        <v>69</v>
      </c>
      <c r="D10" s="64"/>
      <c r="E10" s="77" t="s">
        <v>59</v>
      </c>
      <c r="F10" s="77"/>
      <c r="G10" s="42">
        <f>G7*G8/1000</f>
        <v>17.5</v>
      </c>
      <c r="H10" s="13" t="s">
        <v>29</v>
      </c>
      <c r="K10" s="11"/>
      <c r="L10" s="11"/>
    </row>
    <row r="11" spans="1:12" ht="14.1" customHeight="1" thickTop="1">
      <c r="A11" s="66"/>
      <c r="B11" s="67"/>
      <c r="C11" s="64"/>
      <c r="D11" s="64"/>
      <c r="E11" s="11"/>
      <c r="G11" s="42"/>
      <c r="H11" s="12"/>
      <c r="K11" s="11"/>
      <c r="L11" s="11"/>
    </row>
    <row r="12" spans="1:12" ht="14.1" customHeight="1" thickBot="1">
      <c r="A12" s="8" t="s">
        <v>79</v>
      </c>
      <c r="E12" s="8" t="s">
        <v>56</v>
      </c>
      <c r="F12" s="7"/>
      <c r="K12" s="11"/>
      <c r="L12" s="11"/>
    </row>
    <row r="13" spans="1:12" ht="14.1" customHeight="1" thickTop="1">
      <c r="A13" s="16" t="s">
        <v>60</v>
      </c>
      <c r="B13" s="36">
        <v>800</v>
      </c>
      <c r="C13" s="19" t="s">
        <v>26</v>
      </c>
      <c r="D13" s="69"/>
      <c r="E13" s="83" t="s">
        <v>13</v>
      </c>
      <c r="F13" s="77"/>
      <c r="G13" s="43">
        <f>(B13*B14-B8*1.414)/G8</f>
        <v>4.1746000000000008</v>
      </c>
      <c r="H13" s="25" t="s">
        <v>35</v>
      </c>
      <c r="K13" s="11"/>
      <c r="L13" s="11"/>
    </row>
    <row r="14" spans="1:12" ht="14.1" customHeight="1">
      <c r="A14" s="20" t="s">
        <v>18</v>
      </c>
      <c r="B14" s="37">
        <v>0.8</v>
      </c>
      <c r="C14" s="68"/>
      <c r="D14" s="20"/>
      <c r="E14" s="79" t="s">
        <v>14</v>
      </c>
      <c r="F14" s="75"/>
      <c r="G14" s="44">
        <f>B8*1.414/(B15*B16-G8)</f>
        <v>2.2698421052631579</v>
      </c>
      <c r="H14" s="30" t="s">
        <v>35</v>
      </c>
      <c r="K14" s="11"/>
      <c r="L14" s="11"/>
    </row>
    <row r="15" spans="1:12" ht="14.1" customHeight="1" thickBot="1">
      <c r="A15" s="20" t="s">
        <v>61</v>
      </c>
      <c r="B15" s="37">
        <v>300</v>
      </c>
      <c r="C15" s="21" t="s">
        <v>26</v>
      </c>
      <c r="E15" s="72" t="s">
        <v>19</v>
      </c>
      <c r="F15" s="73"/>
      <c r="G15" s="38">
        <v>3.8</v>
      </c>
      <c r="H15" s="24" t="s">
        <v>35</v>
      </c>
      <c r="K15" s="11"/>
      <c r="L15" s="11"/>
    </row>
    <row r="16" spans="1:12" ht="14.1" customHeight="1" thickTop="1" thickBot="1">
      <c r="A16" s="22" t="s">
        <v>18</v>
      </c>
      <c r="B16" s="38">
        <v>0.8</v>
      </c>
      <c r="C16" s="24"/>
      <c r="D16" s="20"/>
    </row>
    <row r="17" spans="1:8" ht="14.1" customHeight="1" thickTop="1"/>
    <row r="18" spans="1:8" ht="14.1" customHeight="1" thickBot="1">
      <c r="A18" s="8" t="s">
        <v>21</v>
      </c>
      <c r="E18" s="84" t="s">
        <v>78</v>
      </c>
      <c r="F18" s="75"/>
      <c r="G18" s="11"/>
    </row>
    <row r="19" spans="1:8" ht="14.1" customHeight="1" thickTop="1">
      <c r="A19" s="58" t="s">
        <v>80</v>
      </c>
      <c r="B19" s="43">
        <f>G10*2/(B10/100)</f>
        <v>41.176470588235297</v>
      </c>
      <c r="C19" s="19" t="s">
        <v>29</v>
      </c>
      <c r="E19" s="85" t="s">
        <v>74</v>
      </c>
      <c r="F19" s="77"/>
      <c r="G19" s="62">
        <f>B24*(B21/3/(B21+B22))^0.5</f>
        <v>0.48278906787919723</v>
      </c>
      <c r="H19" s="19" t="s">
        <v>30</v>
      </c>
    </row>
    <row r="20" spans="1:8" ht="14.1" customHeight="1">
      <c r="A20" s="20" t="s">
        <v>9</v>
      </c>
      <c r="B20" s="45">
        <f>B7*1.414</f>
        <v>127.25999999999999</v>
      </c>
      <c r="C20" s="21" t="s">
        <v>28</v>
      </c>
      <c r="E20" s="86" t="s">
        <v>75</v>
      </c>
      <c r="F20" s="75"/>
      <c r="G20" s="63">
        <v>2.7</v>
      </c>
      <c r="H20" s="21" t="s">
        <v>77</v>
      </c>
    </row>
    <row r="21" spans="1:8" ht="14.1" customHeight="1" thickBot="1">
      <c r="A21" s="20" t="s">
        <v>0</v>
      </c>
      <c r="B21" s="45">
        <f>1/(B9*0.001*(B20/G15/G8+1))</f>
        <v>13.308397598884898</v>
      </c>
      <c r="C21" s="26" t="s">
        <v>33</v>
      </c>
      <c r="E21" s="87" t="s">
        <v>76</v>
      </c>
      <c r="F21" s="73"/>
      <c r="G21" s="47">
        <f>G19*G19*G20</f>
        <v>0.62933026697189309</v>
      </c>
      <c r="H21" s="23" t="s">
        <v>29</v>
      </c>
    </row>
    <row r="22" spans="1:8" ht="14.1" customHeight="1" thickTop="1">
      <c r="A22" s="20" t="s">
        <v>7</v>
      </c>
      <c r="B22" s="45">
        <f>B23*B25/G15/G15/G8</f>
        <v>8.9138246233373266</v>
      </c>
      <c r="C22" s="21" t="s">
        <v>33</v>
      </c>
    </row>
    <row r="23" spans="1:8" ht="14.1" customHeight="1">
      <c r="A23" s="20" t="s">
        <v>53</v>
      </c>
      <c r="B23" s="54">
        <f>B9*0.001*B20*B20*B21*B21/2/B19</f>
        <v>1567.3600459402332</v>
      </c>
      <c r="C23" s="26" t="s">
        <v>67</v>
      </c>
    </row>
    <row r="24" spans="1:8" ht="14.1" customHeight="1">
      <c r="A24" s="20" t="s">
        <v>62</v>
      </c>
      <c r="B24" s="46">
        <f>B20*B21/B23</f>
        <v>1.0805600683907401</v>
      </c>
      <c r="C24" s="21" t="s">
        <v>30</v>
      </c>
    </row>
    <row r="25" spans="1:8" ht="14.1" customHeight="1" thickBot="1">
      <c r="A25" s="22" t="s">
        <v>63</v>
      </c>
      <c r="B25" s="47">
        <f>B24*G15</f>
        <v>4.1061282598848123</v>
      </c>
      <c r="C25" s="23" t="s">
        <v>30</v>
      </c>
    </row>
    <row r="26" spans="1:8" ht="14.1" customHeight="1" thickTop="1">
      <c r="D26" s="12"/>
    </row>
    <row r="27" spans="1:8" ht="14.1" customHeight="1" thickBot="1">
      <c r="A27" s="8" t="s">
        <v>1</v>
      </c>
      <c r="D27" s="11"/>
      <c r="E27" s="2"/>
    </row>
    <row r="28" spans="1:8" ht="14.1" customHeight="1" thickTop="1">
      <c r="A28" s="16" t="s">
        <v>15</v>
      </c>
      <c r="B28" s="18" t="s">
        <v>11</v>
      </c>
      <c r="C28" s="18" t="s">
        <v>10</v>
      </c>
      <c r="D28" s="61"/>
      <c r="E28" s="27" t="s">
        <v>12</v>
      </c>
      <c r="F28" s="25"/>
    </row>
    <row r="29" spans="1:8" ht="14.1" customHeight="1">
      <c r="A29" s="20" t="s">
        <v>2</v>
      </c>
      <c r="B29" s="48">
        <v>0.31</v>
      </c>
      <c r="C29" s="49">
        <v>0.57999999999999996</v>
      </c>
      <c r="D29" s="49"/>
      <c r="E29" s="37">
        <v>0.52</v>
      </c>
      <c r="F29" s="21" t="s">
        <v>31</v>
      </c>
    </row>
    <row r="30" spans="1:8" ht="14.1" customHeight="1">
      <c r="A30" s="20" t="s">
        <v>64</v>
      </c>
      <c r="B30" s="37">
        <v>3200</v>
      </c>
      <c r="C30" s="37">
        <v>3200</v>
      </c>
      <c r="D30" s="37"/>
      <c r="E30" s="39">
        <v>3200</v>
      </c>
      <c r="F30" s="21" t="s">
        <v>8</v>
      </c>
    </row>
    <row r="31" spans="1:8" ht="14.1" customHeight="1">
      <c r="A31" s="20" t="s">
        <v>3</v>
      </c>
      <c r="B31" s="45">
        <f>$B$23*$B$24*100/B30/B29</f>
        <v>170.72849580988833</v>
      </c>
      <c r="C31" s="45">
        <f>$B$23*$B$24*100/C30/C29</f>
        <v>91.251437415629965</v>
      </c>
      <c r="D31" s="45"/>
      <c r="E31" s="45">
        <f>$B$23*$B$24*100/E30/E29</f>
        <v>101.78044942512572</v>
      </c>
      <c r="F31" s="21" t="s">
        <v>4</v>
      </c>
    </row>
    <row r="32" spans="1:8" ht="14.1" customHeight="1">
      <c r="A32" s="20" t="s">
        <v>65</v>
      </c>
      <c r="B32" s="50">
        <f>0.5*B31*$B$24/B30</f>
        <v>2.8825374235715802E-2</v>
      </c>
      <c r="C32" s="50">
        <f>0.5*C31*$B$24/C30</f>
        <v>1.5406665539779135E-2</v>
      </c>
      <c r="D32" s="50"/>
      <c r="E32" s="50">
        <f>0.5*E31*$B$24/E30</f>
        <v>1.7184357717445958E-2</v>
      </c>
      <c r="F32" s="21" t="s">
        <v>5</v>
      </c>
    </row>
    <row r="33" spans="1:7" ht="14.1" customHeight="1">
      <c r="A33" s="20" t="s">
        <v>6</v>
      </c>
      <c r="B33" s="45">
        <f>B31/$G$15</f>
        <v>44.928551528917986</v>
      </c>
      <c r="C33" s="45">
        <f>C31/$G$15</f>
        <v>24.013536162007888</v>
      </c>
      <c r="D33" s="45"/>
      <c r="E33" s="45">
        <f>E31/$G$15</f>
        <v>26.784328796085717</v>
      </c>
      <c r="F33" s="21" t="s">
        <v>4</v>
      </c>
    </row>
    <row r="34" spans="1:7" ht="14.1" customHeight="1" thickBot="1">
      <c r="A34" s="28" t="s">
        <v>20</v>
      </c>
      <c r="B34" s="51">
        <f>0.9*B33*12.2/$G$9</f>
        <v>41.109624648959958</v>
      </c>
      <c r="C34" s="51">
        <f>0.9*C33*12.2/$G$9</f>
        <v>21.972385588237216</v>
      </c>
      <c r="D34" s="51"/>
      <c r="E34" s="51">
        <f>0.9*E33*12.2/$G$9</f>
        <v>24.507660848418428</v>
      </c>
      <c r="F34" s="23" t="s">
        <v>4</v>
      </c>
    </row>
    <row r="35" spans="1:7" ht="14.1" customHeight="1" thickTop="1"/>
    <row r="36" spans="1:7" ht="14.1" customHeight="1" thickBot="1">
      <c r="A36" s="81" t="s">
        <v>24</v>
      </c>
      <c r="B36" s="73"/>
      <c r="C36" s="3"/>
      <c r="D36" s="3"/>
      <c r="E36" s="3"/>
    </row>
    <row r="37" spans="1:7" ht="14.1" customHeight="1" thickTop="1">
      <c r="A37" s="76" t="s">
        <v>73</v>
      </c>
      <c r="B37" s="77"/>
      <c r="C37" s="40">
        <v>85</v>
      </c>
      <c r="D37" s="40"/>
      <c r="E37" s="19" t="s">
        <v>25</v>
      </c>
    </row>
    <row r="38" spans="1:7" ht="14.1" customHeight="1">
      <c r="A38" s="78" t="s">
        <v>72</v>
      </c>
      <c r="B38" s="75"/>
      <c r="C38" s="41">
        <v>50</v>
      </c>
      <c r="D38" s="41"/>
      <c r="E38" s="21" t="s">
        <v>26</v>
      </c>
    </row>
    <row r="39" spans="1:7" ht="14.1" customHeight="1">
      <c r="A39" s="79" t="s">
        <v>82</v>
      </c>
      <c r="B39" s="75"/>
      <c r="C39" s="31">
        <v>4.7750000000000004</v>
      </c>
      <c r="D39" s="31"/>
      <c r="E39" s="21" t="s">
        <v>26</v>
      </c>
      <c r="F39" s="9"/>
      <c r="G39" s="3"/>
    </row>
    <row r="40" spans="1:7" ht="14.1" customHeight="1">
      <c r="A40" s="79" t="s">
        <v>83</v>
      </c>
      <c r="B40" s="75"/>
      <c r="C40" s="32">
        <v>2.9700000000000001E-4</v>
      </c>
      <c r="D40" s="32"/>
      <c r="E40" s="21" t="s">
        <v>30</v>
      </c>
      <c r="F40" s="9"/>
      <c r="G40" s="3"/>
    </row>
    <row r="41" spans="1:7" ht="14.1" customHeight="1" thickBot="1">
      <c r="A41" s="72" t="s">
        <v>16</v>
      </c>
      <c r="B41" s="73"/>
      <c r="C41" s="52">
        <f>(4*(1000000*B23)*(G7/1000*C38)*C40)/(0.95*((C37*1.414)^2)*C39)*(C37*1.414/G15/C38+1)</f>
        <v>811.82758007712312</v>
      </c>
      <c r="D41" s="52"/>
      <c r="E41" s="29" t="s">
        <v>34</v>
      </c>
      <c r="G41" s="71"/>
    </row>
    <row r="42" spans="1:7" ht="13.5" thickTop="1">
      <c r="E42" s="2"/>
    </row>
    <row r="43" spans="1:7">
      <c r="E43" s="2"/>
    </row>
    <row r="44" spans="1:7">
      <c r="A44" s="8"/>
      <c r="E44" s="2"/>
    </row>
    <row r="45" spans="1:7">
      <c r="B45" s="15"/>
      <c r="C45" s="14"/>
      <c r="D45" s="14"/>
      <c r="E45" s="14"/>
    </row>
    <row r="46" spans="1:7">
      <c r="B46" s="7"/>
      <c r="C46" s="7"/>
      <c r="D46" s="7"/>
      <c r="E46" s="14"/>
    </row>
    <row r="47" spans="1:7">
      <c r="B47" s="10"/>
      <c r="C47" s="10"/>
      <c r="D47" s="10"/>
      <c r="E47" s="14"/>
    </row>
    <row r="48" spans="1:7">
      <c r="B48" s="9"/>
      <c r="C48" s="9"/>
      <c r="D48" s="9"/>
      <c r="E48" s="9"/>
    </row>
    <row r="49" spans="1:5">
      <c r="B49" s="10"/>
      <c r="C49" s="10"/>
      <c r="D49" s="10"/>
      <c r="E49" s="14"/>
    </row>
    <row r="50" spans="1:5">
      <c r="B50" s="9"/>
      <c r="C50" s="9"/>
      <c r="D50" s="9"/>
      <c r="E50" s="9"/>
    </row>
    <row r="51" spans="1:5">
      <c r="B51" s="14"/>
      <c r="C51" s="14"/>
      <c r="D51" s="14"/>
      <c r="E51" s="14"/>
    </row>
    <row r="52" spans="1:5">
      <c r="B52" s="14"/>
      <c r="C52" s="14"/>
      <c r="D52" s="14"/>
      <c r="E52" s="14"/>
    </row>
    <row r="55" spans="1:5">
      <c r="A55" s="8"/>
      <c r="B55" s="2"/>
    </row>
    <row r="56" spans="1:5">
      <c r="B56" s="5"/>
      <c r="C56" s="6"/>
      <c r="D56" s="6"/>
    </row>
    <row r="57" spans="1:5">
      <c r="A57" s="7"/>
      <c r="B57" s="7"/>
      <c r="C57" s="10"/>
      <c r="D57" s="10"/>
      <c r="E57" s="14"/>
    </row>
    <row r="58" spans="1:5">
      <c r="A58" s="7"/>
      <c r="B58" s="7"/>
      <c r="C58" s="10"/>
      <c r="D58" s="10"/>
      <c r="E58" s="14"/>
    </row>
    <row r="59" spans="1:5">
      <c r="A59" s="7"/>
      <c r="B59" s="7"/>
      <c r="C59" s="10"/>
      <c r="D59" s="10"/>
      <c r="E59" s="14"/>
    </row>
    <row r="60" spans="1:5">
      <c r="A60" s="7"/>
      <c r="B60" s="7"/>
      <c r="C60" s="10"/>
      <c r="D60" s="10"/>
      <c r="E60" s="14"/>
    </row>
    <row r="61" spans="1:5">
      <c r="A61" s="7"/>
      <c r="B61" s="7"/>
      <c r="C61" s="10"/>
      <c r="D61" s="10"/>
      <c r="E61" s="14"/>
    </row>
    <row r="62" spans="1:5">
      <c r="A62" s="7"/>
      <c r="B62" s="7"/>
      <c r="C62" s="10"/>
      <c r="D62" s="10"/>
      <c r="E62" s="14"/>
    </row>
    <row r="63" spans="1:5">
      <c r="A63" s="7"/>
      <c r="B63" s="7"/>
      <c r="C63" s="10"/>
      <c r="D63" s="10"/>
      <c r="E63" s="14"/>
    </row>
    <row r="64" spans="1:5">
      <c r="A64" s="7"/>
      <c r="B64" s="7"/>
      <c r="C64" s="10"/>
      <c r="D64" s="10"/>
      <c r="E64" s="14"/>
    </row>
    <row r="65" spans="1:5">
      <c r="A65" s="7"/>
      <c r="B65" s="7"/>
      <c r="C65" s="10"/>
      <c r="D65" s="10"/>
      <c r="E65" s="14"/>
    </row>
    <row r="66" spans="1:5">
      <c r="A66" s="7"/>
      <c r="B66" s="7"/>
      <c r="C66" s="10"/>
      <c r="D66" s="10"/>
      <c r="E66" s="14"/>
    </row>
  </sheetData>
  <sheetProtection password="DD03" sheet="1" objects="1" scenarios="1" selectLockedCells="1"/>
  <mergeCells count="19">
    <mergeCell ref="E20:F20"/>
    <mergeCell ref="E21:F21"/>
    <mergeCell ref="A40:B40"/>
    <mergeCell ref="A41:B41"/>
    <mergeCell ref="B1:H1"/>
    <mergeCell ref="A37:B37"/>
    <mergeCell ref="A38:B38"/>
    <mergeCell ref="A39:B39"/>
    <mergeCell ref="B4:C4"/>
    <mergeCell ref="A36:B36"/>
    <mergeCell ref="E7:F7"/>
    <mergeCell ref="E8:F8"/>
    <mergeCell ref="E9:F9"/>
    <mergeCell ref="E10:F10"/>
    <mergeCell ref="E13:F13"/>
    <mergeCell ref="E14:F14"/>
    <mergeCell ref="E15:F15"/>
    <mergeCell ref="E18:F18"/>
    <mergeCell ref="E19:F19"/>
  </mergeCells>
  <phoneticPr fontId="1" type="noConversion"/>
  <dataValidations count="9">
    <dataValidation type="decimal" allowBlank="1" showInputMessage="1" showErrorMessage="1" errorTitle="Turns Ratio" error="Selected turns ratio must be between minium and maxium values." sqref="G15">
      <formula1>G14</formula1>
      <formula2>(G13+0.1)</formula2>
    </dataValidation>
    <dataValidation type="decimal" operator="greaterThanOrEqual" allowBlank="1" showInputMessage="1" showErrorMessage="1" error="Maximum input voltage must be greater than Minimum input voltage." sqref="B8">
      <formula1>B7</formula1>
    </dataValidation>
    <dataValidation type="decimal" allowBlank="1" showInputMessage="1" showErrorMessage="1" error="Actual LED voltage must be between Minimum and Maximum LED voltage shown above." sqref="C38:D38">
      <formula1>G9</formula1>
      <formula2>G8</formula2>
    </dataValidation>
    <dataValidation type="decimal" operator="lessThanOrEqual" allowBlank="1" showInputMessage="1" showErrorMessage="1" error="Minimum regulation input must be below Maximum input voltage." sqref="C37:D37">
      <formula1>B8</formula1>
    </dataValidation>
    <dataValidation type="whole" errorStyle="warning" operator="greaterThan" allowBlank="1" showInputMessage="1" showErrorMessage="1" errorTitle="FET Voltage" error="FET Voltage rating may be too low" sqref="B13">
      <formula1>B8*1.414/B14</formula1>
    </dataValidation>
    <dataValidation type="whole" errorStyle="warning" operator="greaterThan" allowBlank="1" showInputMessage="1" showErrorMessage="1" errorTitle="Diode Voltage" error="Diode voltage may be too low" sqref="B15">
      <formula1>G8/B16</formula1>
    </dataValidation>
    <dataValidation type="decimal" errorStyle="warning" allowBlank="1" showInputMessage="1" showErrorMessage="1" error="Derating must be between 0.1 and 1.0" sqref="B16 B14">
      <formula1>0.1</formula1>
      <formula2>1</formula2>
    </dataValidation>
    <dataValidation type="whole" operator="lessThan" allowBlank="1" showInputMessage="1" showErrorMessage="1" errorTitle="Frequency out of bounds" error="Frequency can be no greater than 300kHz" sqref="B9">
      <formula1>300</formula1>
    </dataValidation>
    <dataValidation type="decimal" allowBlank="1" showInputMessage="1" showErrorMessage="1" error="Estimated efficiecny must not exceed 100%" sqref="B10:B11">
      <formula1>10</formula1>
      <formula2>100</formula2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:L15"/>
  <sheetViews>
    <sheetView workbookViewId="0">
      <selection activeCell="L16" sqref="L16"/>
    </sheetView>
  </sheetViews>
  <sheetFormatPr defaultRowHeight="12.75"/>
  <cols>
    <col min="10" max="10" width="10" customWidth="1"/>
  </cols>
  <sheetData>
    <row r="3" spans="1:12">
      <c r="F3" t="s">
        <v>42</v>
      </c>
      <c r="G3" t="s">
        <v>40</v>
      </c>
      <c r="H3" t="s">
        <v>44</v>
      </c>
      <c r="I3" t="s">
        <v>46</v>
      </c>
      <c r="J3" t="s">
        <v>48</v>
      </c>
      <c r="K3" t="s">
        <v>49</v>
      </c>
      <c r="L3" t="s">
        <v>51</v>
      </c>
    </row>
    <row r="4" spans="1:12">
      <c r="B4" s="2"/>
      <c r="F4" t="s">
        <v>43</v>
      </c>
      <c r="G4" t="s">
        <v>41</v>
      </c>
      <c r="H4" t="s">
        <v>45</v>
      </c>
      <c r="I4" t="s">
        <v>47</v>
      </c>
      <c r="J4" t="s">
        <v>45</v>
      </c>
      <c r="K4" t="s">
        <v>50</v>
      </c>
      <c r="L4" t="s">
        <v>52</v>
      </c>
    </row>
    <row r="5" spans="1:12">
      <c r="A5" t="s">
        <v>38</v>
      </c>
      <c r="B5">
        <f>'Worksheet Information'!B8</f>
        <v>305</v>
      </c>
      <c r="D5" t="s">
        <v>32</v>
      </c>
      <c r="F5">
        <f>B6</f>
        <v>90</v>
      </c>
      <c r="G5">
        <f>F5*1.414</f>
        <v>127.25999999999999</v>
      </c>
      <c r="H5">
        <f>(2*'Worksheet Information'!$B$19/G5)*(G5/'Worksheet Information'!$G$15/'Worksheet Information'!$G$8+1)</f>
        <v>1.0805600683907401</v>
      </c>
      <c r="I5" s="4">
        <f>'Worksheet Information'!$B$23*H5/G5/1000</f>
        <v>1.3308397598884898E-2</v>
      </c>
      <c r="J5">
        <f>H5*'Worksheet Information'!$G$15</f>
        <v>4.1061282598848123</v>
      </c>
      <c r="K5" s="4">
        <f>'Worksheet Information'!$B$23*0.001/'Worksheet Information'!$G$15/'Worksheet Information'!$G$15*J5/'Worksheet Information'!$G$8</f>
        <v>8.9138246233373269E-3</v>
      </c>
      <c r="L5" s="2">
        <f t="shared" ref="L5:L15" si="0">1/(I5+K5)</f>
        <v>44.999999999999993</v>
      </c>
    </row>
    <row r="6" spans="1:12">
      <c r="A6" t="s">
        <v>39</v>
      </c>
      <c r="B6">
        <f>'Worksheet Information'!B7</f>
        <v>90</v>
      </c>
      <c r="D6">
        <f>(B5-B6)/10</f>
        <v>21.5</v>
      </c>
      <c r="F6">
        <f>B6+D6</f>
        <v>111.5</v>
      </c>
      <c r="G6">
        <f t="shared" ref="G6:G15" si="1">F6*1.414</f>
        <v>157.661</v>
      </c>
      <c r="H6">
        <f>(2*'Worksheet Information'!$B$19/G6)*(G6/'Worksheet Information'!$G$15/'Worksheet Information'!$G$8+1)</f>
        <v>0.95577840003661896</v>
      </c>
      <c r="I6" s="4">
        <f>'Worksheet Information'!$B$23*H6/G6/1000</f>
        <v>9.5017085835436658E-3</v>
      </c>
      <c r="J6">
        <f>H6*'Worksheet Information'!$G$15</f>
        <v>3.6319579201391519</v>
      </c>
      <c r="K6" s="4">
        <f>'Worksheet Information'!$B$23*0.001/'Worksheet Information'!$G$15/'Worksheet Information'!$G$15*J6/'Worksheet Information'!$G$8</f>
        <v>7.8844677736319875E-3</v>
      </c>
      <c r="L6" s="2">
        <f t="shared" si="0"/>
        <v>57.516959419733382</v>
      </c>
    </row>
    <row r="7" spans="1:12">
      <c r="F7">
        <f>F6+$D$6</f>
        <v>133</v>
      </c>
      <c r="G7">
        <f t="shared" si="1"/>
        <v>188.06199999999998</v>
      </c>
      <c r="H7">
        <f>(2*'Worksheet Information'!$B$19/G7)*(G7/'Worksheet Information'!$G$15/'Worksheet Information'!$G$8+1)</f>
        <v>0.8713396770902212</v>
      </c>
      <c r="I7" s="4">
        <f>'Worksheet Information'!$B$23*H7/G7/1000</f>
        <v>7.2619827307679238E-3</v>
      </c>
      <c r="J7">
        <f>H7*'Worksheet Information'!$G$15</f>
        <v>3.3110907729428405</v>
      </c>
      <c r="K7" s="4">
        <f>'Worksheet Information'!$B$23*0.001/'Worksheet Information'!$G$15/'Worksheet Information'!$G$15*J7/'Worksheet Information'!$G$8</f>
        <v>7.1879105069140902E-3</v>
      </c>
      <c r="L7" s="2">
        <f t="shared" si="0"/>
        <v>69.20466356057419</v>
      </c>
    </row>
    <row r="8" spans="1:12">
      <c r="F8">
        <f t="shared" ref="F8:F15" si="2">F7+$D$6</f>
        <v>154.5</v>
      </c>
      <c r="G8">
        <f t="shared" si="1"/>
        <v>218.46299999999999</v>
      </c>
      <c r="H8">
        <f>(2*'Worksheet Information'!$B$19/G8)*(G8/'Worksheet Information'!$G$15/'Worksheet Information'!$G$8+1)</f>
        <v>0.81040169904152648</v>
      </c>
      <c r="I8" s="4">
        <f>'Worksheet Information'!$B$23*H8/G8/1000</f>
        <v>5.8142167975344565E-3</v>
      </c>
      <c r="J8">
        <f>H8*'Worksheet Information'!$G$15</f>
        <v>3.0795264563578004</v>
      </c>
      <c r="K8" s="4">
        <f>'Worksheet Information'!$B$23*0.001/'Worksheet Information'!$G$15/'Worksheet Information'!$G$15*J8/'Worksheet Information'!$G$8</f>
        <v>6.685217074946158E-3</v>
      </c>
      <c r="L8" s="2">
        <f t="shared" si="0"/>
        <v>80.003623380227694</v>
      </c>
    </row>
    <row r="9" spans="1:12">
      <c r="F9">
        <f t="shared" si="2"/>
        <v>176</v>
      </c>
      <c r="G9">
        <f t="shared" si="1"/>
        <v>248.86399999999998</v>
      </c>
      <c r="H9">
        <f>(2*'Worksheet Information'!$B$19/G9)*(G9/'Worksheet Information'!$G$15/'Worksheet Information'!$G$8+1)</f>
        <v>0.7643519769933651</v>
      </c>
      <c r="I9" s="4">
        <f>'Worksheet Information'!$B$23*H9/G9/1000</f>
        <v>4.8139335129823079E-3</v>
      </c>
      <c r="J9">
        <f>H9*'Worksheet Information'!$G$15</f>
        <v>2.9045375125747874</v>
      </c>
      <c r="K9" s="4">
        <f>'Worksheet Information'!$B$23*0.001/'Worksheet Information'!$G$15/'Worksheet Information'!$G$15*J9/'Worksheet Information'!$G$8</f>
        <v>6.3053407882885729E-3</v>
      </c>
      <c r="L9" s="2">
        <f t="shared" si="0"/>
        <v>89.933926702905836</v>
      </c>
    </row>
    <row r="10" spans="1:12">
      <c r="F10">
        <f t="shared" si="2"/>
        <v>197.5</v>
      </c>
      <c r="G10">
        <f t="shared" si="1"/>
        <v>279.26499999999999</v>
      </c>
      <c r="H10">
        <f>(2*'Worksheet Information'!$B$19/G10)*(G10/'Worksheet Information'!$G$15/'Worksheet Information'!$G$8+1)</f>
        <v>0.72832827037847425</v>
      </c>
      <c r="I10" s="4">
        <f>'Worksheet Information'!$B$23*H10/G10/1000</f>
        <v>4.0877039060389806E-3</v>
      </c>
      <c r="J10">
        <f>H10*'Worksheet Information'!$G$15</f>
        <v>2.7676474274382019</v>
      </c>
      <c r="K10" s="4">
        <f>'Worksheet Information'!$B$23*0.001/'Worksheet Information'!$G$15/'Worksheet Information'!$G$15*J10/'Worksheet Information'!$G$8</f>
        <v>6.0081717437893466E-3</v>
      </c>
      <c r="L10" s="2">
        <f t="shared" si="0"/>
        <v>99.050348348635239</v>
      </c>
    </row>
    <row r="11" spans="1:12">
      <c r="F11">
        <f t="shared" si="2"/>
        <v>219</v>
      </c>
      <c r="G11">
        <f t="shared" si="1"/>
        <v>309.666</v>
      </c>
      <c r="H11">
        <f>(2*'Worksheet Information'!$B$19/G11)*(G11/'Worksheet Information'!$G$15/'Worksheet Information'!$G$8+1)</f>
        <v>0.69937771163773998</v>
      </c>
      <c r="I11" s="4">
        <f>'Worksheet Information'!$B$23*H11/G11/1000</f>
        <v>3.5398677356962131E-3</v>
      </c>
      <c r="J11">
        <f>H11*'Worksheet Information'!$G$15</f>
        <v>2.6576353042234118</v>
      </c>
      <c r="K11" s="4">
        <f>'Worksheet Information'!$B$23*0.001/'Worksheet Information'!$G$15/'Worksheet Information'!$G$15*J11/'Worksheet Information'!$G$8</f>
        <v>5.7693509591689651E-3</v>
      </c>
      <c r="L11" s="2">
        <f t="shared" si="0"/>
        <v>107.42040044150907</v>
      </c>
    </row>
    <row r="12" spans="1:12">
      <c r="F12">
        <f t="shared" si="2"/>
        <v>240.5</v>
      </c>
      <c r="G12">
        <f t="shared" si="1"/>
        <v>340.06700000000001</v>
      </c>
      <c r="H12">
        <f>(2*'Worksheet Information'!$B$19/G12)*(G12/'Worksheet Information'!$G$15/'Worksheet Information'!$G$8+1)</f>
        <v>0.67560334427268809</v>
      </c>
      <c r="I12" s="4">
        <f>'Worksheet Information'!$B$23*H12/G12/1000</f>
        <v>3.1138384163021272E-3</v>
      </c>
      <c r="J12">
        <f>H12*'Worksheet Information'!$G$15</f>
        <v>2.5672927082362147</v>
      </c>
      <c r="K12" s="4">
        <f>'Worksheet Information'!$B$23*0.001/'Worksheet Information'!$G$15/'Worksheet Information'!$G$15*J12/'Worksheet Information'!$G$8</f>
        <v>5.5732299406137664E-3</v>
      </c>
      <c r="L12" s="2">
        <f t="shared" si="0"/>
        <v>115.11363315149769</v>
      </c>
    </row>
    <row r="13" spans="1:12">
      <c r="F13">
        <f t="shared" si="2"/>
        <v>262</v>
      </c>
      <c r="G13">
        <f t="shared" si="1"/>
        <v>370.46799999999996</v>
      </c>
      <c r="H13">
        <f>(2*'Worksheet Information'!$B$19/G13)*(G13/'Worksheet Information'!$G$15/'Worksheet Information'!$G$8+1)</f>
        <v>0.65573087689503007</v>
      </c>
      <c r="I13" s="4">
        <f>'Worksheet Information'!$B$23*H13/G13/1000</f>
        <v>2.7742379296852191E-3</v>
      </c>
      <c r="J13">
        <f>H13*'Worksheet Information'!$G$15</f>
        <v>2.4917773322011141</v>
      </c>
      <c r="K13" s="4">
        <f>'Worksheet Information'!$B$23*0.001/'Worksheet Information'!$G$15/'Worksheet Information'!$G$15*J13/'Worksheet Information'!$G$8</f>
        <v>5.4092967228138089E-3</v>
      </c>
      <c r="L13" s="2">
        <f t="shared" si="0"/>
        <v>122.19658649513109</v>
      </c>
    </row>
    <row r="14" spans="1:12">
      <c r="F14">
        <f t="shared" si="2"/>
        <v>283.5</v>
      </c>
      <c r="G14">
        <f t="shared" si="1"/>
        <v>400.86899999999997</v>
      </c>
      <c r="H14">
        <f>(2*'Worksheet Information'!$B$19/G14)*(G14/'Worksheet Information'!$G$15/'Worksheet Information'!$G$8+1)</f>
        <v>0.63887257564520039</v>
      </c>
      <c r="I14" s="4">
        <f>'Worksheet Information'!$B$23*H14/G14/1000</f>
        <v>2.4979316173443611E-3</v>
      </c>
      <c r="J14">
        <f>H14*'Worksheet Information'!$G$15</f>
        <v>2.4277157874517612</v>
      </c>
      <c r="K14" s="4">
        <f>'Worksheet Information'!$B$23*0.001/'Worksheet Information'!$G$15/'Worksheet Information'!$G$15*J14/'Worksheet Information'!$G$8</f>
        <v>5.2702281553327181E-3</v>
      </c>
      <c r="L14" s="2">
        <f t="shared" si="0"/>
        <v>128.73061693675464</v>
      </c>
    </row>
    <row r="15" spans="1:12">
      <c r="F15">
        <f t="shared" si="2"/>
        <v>305</v>
      </c>
      <c r="G15">
        <f t="shared" si="1"/>
        <v>431.27</v>
      </c>
      <c r="H15">
        <f>(2*'Worksheet Information'!$B$19/G15)*(G15/'Worksheet Information'!$G$15/'Worksheet Information'!$G$8+1)</f>
        <v>0.62439101850600232</v>
      </c>
      <c r="I15" s="4">
        <f>'Worksheet Information'!$B$23*H15/G15/1000</f>
        <v>2.2692177416705006E-3</v>
      </c>
      <c r="J15">
        <f>H15*'Worksheet Information'!$G$15</f>
        <v>2.3726858703228086</v>
      </c>
      <c r="K15" s="4">
        <f>'Worksheet Information'!$B$23*0.001/'Worksheet Information'!$G$15/'Worksheet Information'!$G$15*J15/'Worksheet Information'!$G$8</f>
        <v>5.1507659760538782E-3</v>
      </c>
      <c r="L15" s="2">
        <f t="shared" si="0"/>
        <v>134.77118522662852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 Information</vt:lpstr>
      <vt:lpstr>Hidden</vt:lpstr>
      <vt:lpstr>Sheet1</vt:lpstr>
    </vt:vector>
  </TitlesOfParts>
  <Company>ON Semiconductor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Young</dc:creator>
  <cp:lastModifiedBy>FFXBQG</cp:lastModifiedBy>
  <cp:lastPrinted>2012-06-18T20:37:33Z</cp:lastPrinted>
  <dcterms:created xsi:type="dcterms:W3CDTF">2009-10-05T15:44:45Z</dcterms:created>
  <dcterms:modified xsi:type="dcterms:W3CDTF">2012-08-27T17:34:52Z</dcterms:modified>
</cp:coreProperties>
</file>