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tep 1" sheetId="1" r:id="rId1"/>
    <sheet name="Step 2" sheetId="3" r:id="rId2"/>
    <sheet name="Inductor Worksheet" sheetId="2" state="hidden" r:id="rId3"/>
    <sheet name="Other Core" sheetId="4" state="hidden" r:id="rId4"/>
    <sheet name="Step 3" sheetId="5" r:id="rId5"/>
    <sheet name="TCO Worksheet" sheetId="6" state="hidden" r:id="rId6"/>
  </sheets>
  <definedNames>
    <definedName name="Cores">'Step 2'!$K$13:$K$22</definedName>
    <definedName name="Frequency">'Step 1'!$U$3:$U$4</definedName>
    <definedName name="Front_end">'Step 1'!$V$3:$V$4</definedName>
    <definedName name="Topology">'Step 1'!$T$5:$T$8</definedName>
  </definedNames>
  <calcPr calcId="125725"/>
</workbook>
</file>

<file path=xl/calcChain.xml><?xml version="1.0" encoding="utf-8"?>
<calcChain xmlns="http://schemas.openxmlformats.org/spreadsheetml/2006/main">
  <c r="P134" i="6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E6"/>
  <c r="I133"/>
  <c r="I132"/>
  <c r="I131"/>
  <c r="I130"/>
  <c r="I128"/>
  <c r="I127"/>
  <c r="I126"/>
  <c r="I125"/>
  <c r="I123"/>
  <c r="I122"/>
  <c r="I121"/>
  <c r="I120"/>
  <c r="I118"/>
  <c r="I117"/>
  <c r="I116"/>
  <c r="I115"/>
  <c r="I113"/>
  <c r="I112"/>
  <c r="I111"/>
  <c r="I110"/>
  <c r="I108"/>
  <c r="I107"/>
  <c r="I106"/>
  <c r="I105"/>
  <c r="I103"/>
  <c r="I102"/>
  <c r="I101"/>
  <c r="I100"/>
  <c r="I98"/>
  <c r="I97"/>
  <c r="I96"/>
  <c r="I95"/>
  <c r="I93"/>
  <c r="I92"/>
  <c r="I91"/>
  <c r="I90"/>
  <c r="I88"/>
  <c r="I87"/>
  <c r="I86"/>
  <c r="I85"/>
  <c r="I83"/>
  <c r="I82"/>
  <c r="I81"/>
  <c r="I80"/>
  <c r="I78"/>
  <c r="I77"/>
  <c r="I76"/>
  <c r="I75"/>
  <c r="I73"/>
  <c r="I72"/>
  <c r="I71"/>
  <c r="I70"/>
  <c r="I68"/>
  <c r="I67"/>
  <c r="I66"/>
  <c r="I65"/>
  <c r="I63"/>
  <c r="I62"/>
  <c r="I61"/>
  <c r="I60"/>
  <c r="I58"/>
  <c r="I57"/>
  <c r="I56"/>
  <c r="I55"/>
  <c r="I53"/>
  <c r="I52"/>
  <c r="I51"/>
  <c r="I50"/>
  <c r="I48"/>
  <c r="I47"/>
  <c r="I46"/>
  <c r="I45"/>
  <c r="I43"/>
  <c r="I42"/>
  <c r="I41"/>
  <c r="I40"/>
  <c r="I38"/>
  <c r="I37"/>
  <c r="I36"/>
  <c r="I35"/>
  <c r="I33"/>
  <c r="I32"/>
  <c r="I31"/>
  <c r="I30"/>
  <c r="I28"/>
  <c r="I27"/>
  <c r="I26"/>
  <c r="I25"/>
  <c r="I23"/>
  <c r="I22"/>
  <c r="I21"/>
  <c r="I20"/>
  <c r="I18"/>
  <c r="I17"/>
  <c r="I16"/>
  <c r="I15"/>
  <c r="I13"/>
  <c r="I12"/>
  <c r="I11"/>
  <c r="I10"/>
  <c r="H14"/>
  <c r="H13"/>
  <c r="H12"/>
  <c r="H11"/>
  <c r="H10"/>
  <c r="E5"/>
  <c r="E4"/>
  <c r="C12"/>
  <c r="C13" s="1"/>
  <c r="E11"/>
  <c r="T11" s="1"/>
  <c r="C11"/>
  <c r="E10"/>
  <c r="T10" s="1"/>
  <c r="C10"/>
  <c r="T9"/>
  <c r="E9"/>
  <c r="E8"/>
  <c r="T8" s="1"/>
  <c r="H35" i="1"/>
  <c r="F26"/>
  <c r="F24"/>
  <c r="F25"/>
  <c r="H39"/>
  <c r="H30"/>
  <c r="H31"/>
  <c r="T38"/>
  <c r="T36"/>
  <c r="T33"/>
  <c r="H37" s="1"/>
  <c r="T32"/>
  <c r="N31" s="1"/>
  <c r="F8" i="4"/>
  <c r="B13"/>
  <c r="B12"/>
  <c r="B11"/>
  <c r="F46"/>
  <c r="J8"/>
  <c r="F9" s="1"/>
  <c r="D13" i="3"/>
  <c r="J8" i="2"/>
  <c r="B13"/>
  <c r="B12"/>
  <c r="B11"/>
  <c r="D8" i="3"/>
  <c r="C8"/>
  <c r="F8" i="2" s="1"/>
  <c r="F46"/>
  <c r="T14" i="1"/>
  <c r="T17" s="1"/>
  <c r="T16"/>
  <c r="N18" s="1"/>
  <c r="O18" s="1"/>
  <c r="F23"/>
  <c r="E27" l="1"/>
  <c r="F27" s="1"/>
  <c r="K47" i="6"/>
  <c r="J99"/>
  <c r="J19"/>
  <c r="K55"/>
  <c r="K79"/>
  <c r="K15"/>
  <c r="J83"/>
  <c r="K95"/>
  <c r="K63"/>
  <c r="K31"/>
  <c r="J115"/>
  <c r="J51"/>
  <c r="K71"/>
  <c r="K39"/>
  <c r="J131"/>
  <c r="J67"/>
  <c r="J35"/>
  <c r="K23"/>
  <c r="K87"/>
  <c r="L133"/>
  <c r="J15"/>
  <c r="J47"/>
  <c r="J63"/>
  <c r="J95"/>
  <c r="J127"/>
  <c r="K21"/>
  <c r="K37"/>
  <c r="K53"/>
  <c r="K69"/>
  <c r="K93"/>
  <c r="K109"/>
  <c r="K125"/>
  <c r="J11"/>
  <c r="J27"/>
  <c r="J43"/>
  <c r="J59"/>
  <c r="J75"/>
  <c r="J91"/>
  <c r="J107"/>
  <c r="J123"/>
  <c r="K11"/>
  <c r="K19"/>
  <c r="K27"/>
  <c r="K35"/>
  <c r="K43"/>
  <c r="K51"/>
  <c r="K59"/>
  <c r="K67"/>
  <c r="K75"/>
  <c r="K83"/>
  <c r="K91"/>
  <c r="K99"/>
  <c r="K107"/>
  <c r="K115"/>
  <c r="K123"/>
  <c r="K131"/>
  <c r="K103"/>
  <c r="K111"/>
  <c r="K119"/>
  <c r="K127"/>
  <c r="J31"/>
  <c r="J79"/>
  <c r="J111"/>
  <c r="K13"/>
  <c r="K29"/>
  <c r="K45"/>
  <c r="K61"/>
  <c r="K77"/>
  <c r="K85"/>
  <c r="K101"/>
  <c r="K117"/>
  <c r="K133"/>
  <c r="J23"/>
  <c r="J39"/>
  <c r="J55"/>
  <c r="J71"/>
  <c r="J87"/>
  <c r="J103"/>
  <c r="J119"/>
  <c r="K9"/>
  <c r="K17"/>
  <c r="K25"/>
  <c r="K33"/>
  <c r="K41"/>
  <c r="K49"/>
  <c r="K57"/>
  <c r="K65"/>
  <c r="K73"/>
  <c r="K81"/>
  <c r="K89"/>
  <c r="K97"/>
  <c r="K105"/>
  <c r="K113"/>
  <c r="K121"/>
  <c r="K129"/>
  <c r="J9"/>
  <c r="J13"/>
  <c r="J17"/>
  <c r="J21"/>
  <c r="J25"/>
  <c r="J29"/>
  <c r="J33"/>
  <c r="J37"/>
  <c r="J41"/>
  <c r="J45"/>
  <c r="J49"/>
  <c r="J53"/>
  <c r="J57"/>
  <c r="J61"/>
  <c r="J65"/>
  <c r="J69"/>
  <c r="J73"/>
  <c r="J77"/>
  <c r="J81"/>
  <c r="J85"/>
  <c r="J89"/>
  <c r="J93"/>
  <c r="J97"/>
  <c r="J101"/>
  <c r="J105"/>
  <c r="J109"/>
  <c r="J113"/>
  <c r="J117"/>
  <c r="J121"/>
  <c r="J125"/>
  <c r="J129"/>
  <c r="J133"/>
  <c r="K10"/>
  <c r="K12"/>
  <c r="K14"/>
  <c r="K16"/>
  <c r="K18"/>
  <c r="K20"/>
  <c r="K22"/>
  <c r="K24"/>
  <c r="K26"/>
  <c r="K28"/>
  <c r="K30"/>
  <c r="K32"/>
  <c r="K34"/>
  <c r="K36"/>
  <c r="K38"/>
  <c r="K40"/>
  <c r="K42"/>
  <c r="K44"/>
  <c r="K46"/>
  <c r="K48"/>
  <c r="K50"/>
  <c r="K52"/>
  <c r="K54"/>
  <c r="K56"/>
  <c r="K58"/>
  <c r="K60"/>
  <c r="K62"/>
  <c r="K64"/>
  <c r="K66"/>
  <c r="K68"/>
  <c r="K70"/>
  <c r="K72"/>
  <c r="K74"/>
  <c r="K76"/>
  <c r="K78"/>
  <c r="K80"/>
  <c r="K82"/>
  <c r="K84"/>
  <c r="K86"/>
  <c r="K88"/>
  <c r="K90"/>
  <c r="K92"/>
  <c r="K94"/>
  <c r="K96"/>
  <c r="K98"/>
  <c r="K100"/>
  <c r="K102"/>
  <c r="K104"/>
  <c r="K106"/>
  <c r="K108"/>
  <c r="K110"/>
  <c r="K112"/>
  <c r="K114"/>
  <c r="K116"/>
  <c r="K118"/>
  <c r="K120"/>
  <c r="K122"/>
  <c r="K124"/>
  <c r="K126"/>
  <c r="K128"/>
  <c r="K130"/>
  <c r="K132"/>
  <c r="K134"/>
  <c r="J10"/>
  <c r="J14"/>
  <c r="J18"/>
  <c r="J22"/>
  <c r="J26"/>
  <c r="J30"/>
  <c r="J34"/>
  <c r="J38"/>
  <c r="J42"/>
  <c r="J46"/>
  <c r="J50"/>
  <c r="J54"/>
  <c r="J58"/>
  <c r="J62"/>
  <c r="J66"/>
  <c r="J70"/>
  <c r="J74"/>
  <c r="J78"/>
  <c r="J82"/>
  <c r="J86"/>
  <c r="J90"/>
  <c r="J94"/>
  <c r="J98"/>
  <c r="J102"/>
  <c r="J106"/>
  <c r="J110"/>
  <c r="J114"/>
  <c r="J118"/>
  <c r="J122"/>
  <c r="J126"/>
  <c r="J130"/>
  <c r="J134"/>
  <c r="L10"/>
  <c r="L12"/>
  <c r="L14"/>
  <c r="L16"/>
  <c r="L18"/>
  <c r="L20"/>
  <c r="L22"/>
  <c r="L24"/>
  <c r="L26"/>
  <c r="L28"/>
  <c r="L30"/>
  <c r="L32"/>
  <c r="L34"/>
  <c r="L36"/>
  <c r="L38"/>
  <c r="L40"/>
  <c r="L42"/>
  <c r="L44"/>
  <c r="L46"/>
  <c r="L48"/>
  <c r="L50"/>
  <c r="L52"/>
  <c r="L54"/>
  <c r="L56"/>
  <c r="L58"/>
  <c r="L60"/>
  <c r="L62"/>
  <c r="L64"/>
  <c r="L66"/>
  <c r="L68"/>
  <c r="L70"/>
  <c r="L72"/>
  <c r="L74"/>
  <c r="L76"/>
  <c r="L78"/>
  <c r="L80"/>
  <c r="L82"/>
  <c r="L84"/>
  <c r="L86"/>
  <c r="L88"/>
  <c r="L90"/>
  <c r="L92"/>
  <c r="L94"/>
  <c r="L96"/>
  <c r="L98"/>
  <c r="L100"/>
  <c r="L102"/>
  <c r="L104"/>
  <c r="L106"/>
  <c r="L108"/>
  <c r="L110"/>
  <c r="L112"/>
  <c r="L114"/>
  <c r="L116"/>
  <c r="L118"/>
  <c r="L120"/>
  <c r="L122"/>
  <c r="L124"/>
  <c r="L126"/>
  <c r="L128"/>
  <c r="L130"/>
  <c r="L132"/>
  <c r="L134"/>
  <c r="F9"/>
  <c r="U9" s="1"/>
  <c r="J12"/>
  <c r="J16"/>
  <c r="J20"/>
  <c r="J24"/>
  <c r="J28"/>
  <c r="J32"/>
  <c r="J36"/>
  <c r="J40"/>
  <c r="J44"/>
  <c r="J48"/>
  <c r="J52"/>
  <c r="J56"/>
  <c r="J60"/>
  <c r="J64"/>
  <c r="J68"/>
  <c r="J72"/>
  <c r="J76"/>
  <c r="J80"/>
  <c r="J84"/>
  <c r="J88"/>
  <c r="J92"/>
  <c r="J96"/>
  <c r="J100"/>
  <c r="J104"/>
  <c r="J108"/>
  <c r="J112"/>
  <c r="J116"/>
  <c r="J120"/>
  <c r="J124"/>
  <c r="J128"/>
  <c r="J132"/>
  <c r="L9"/>
  <c r="L11"/>
  <c r="L13"/>
  <c r="L15"/>
  <c r="L17"/>
  <c r="L19"/>
  <c r="L21"/>
  <c r="L23"/>
  <c r="L25"/>
  <c r="L27"/>
  <c r="L29"/>
  <c r="L31"/>
  <c r="L33"/>
  <c r="L35"/>
  <c r="L37"/>
  <c r="L39"/>
  <c r="L41"/>
  <c r="L43"/>
  <c r="L45"/>
  <c r="L47"/>
  <c r="L49"/>
  <c r="L51"/>
  <c r="L53"/>
  <c r="L55"/>
  <c r="L57"/>
  <c r="L59"/>
  <c r="L61"/>
  <c r="L63"/>
  <c r="L65"/>
  <c r="L67"/>
  <c r="L69"/>
  <c r="L71"/>
  <c r="L73"/>
  <c r="L75"/>
  <c r="L77"/>
  <c r="L79"/>
  <c r="L81"/>
  <c r="L83"/>
  <c r="L85"/>
  <c r="L87"/>
  <c r="L89"/>
  <c r="L91"/>
  <c r="L93"/>
  <c r="L95"/>
  <c r="L97"/>
  <c r="L99"/>
  <c r="L101"/>
  <c r="L103"/>
  <c r="L105"/>
  <c r="L107"/>
  <c r="L109"/>
  <c r="L111"/>
  <c r="L113"/>
  <c r="L115"/>
  <c r="L117"/>
  <c r="L119"/>
  <c r="L121"/>
  <c r="L123"/>
  <c r="L125"/>
  <c r="L127"/>
  <c r="L129"/>
  <c r="L131"/>
  <c r="H15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N20" i="1"/>
  <c r="F30" i="6"/>
  <c r="U30" s="1"/>
  <c r="F10"/>
  <c r="U10" s="1"/>
  <c r="F13"/>
  <c r="U13" s="1"/>
  <c r="F16"/>
  <c r="U16" s="1"/>
  <c r="F19"/>
  <c r="U19" s="1"/>
  <c r="F21"/>
  <c r="U21" s="1"/>
  <c r="F24"/>
  <c r="U24" s="1"/>
  <c r="F27"/>
  <c r="U27" s="1"/>
  <c r="F29"/>
  <c r="U29" s="1"/>
  <c r="F32"/>
  <c r="U32" s="1"/>
  <c r="F34"/>
  <c r="U34" s="1"/>
  <c r="F11"/>
  <c r="U11" s="1"/>
  <c r="F18"/>
  <c r="U18" s="1"/>
  <c r="F26"/>
  <c r="U26" s="1"/>
  <c r="F12"/>
  <c r="U12" s="1"/>
  <c r="F15"/>
  <c r="U15" s="1"/>
  <c r="F17"/>
  <c r="U17" s="1"/>
  <c r="F20"/>
  <c r="U20" s="1"/>
  <c r="F23"/>
  <c r="U23" s="1"/>
  <c r="F25"/>
  <c r="U25" s="1"/>
  <c r="F28"/>
  <c r="U28" s="1"/>
  <c r="F31"/>
  <c r="U31" s="1"/>
  <c r="F33"/>
  <c r="U33" s="1"/>
  <c r="F14"/>
  <c r="U14" s="1"/>
  <c r="F22"/>
  <c r="U22" s="1"/>
  <c r="C14"/>
  <c r="E13"/>
  <c r="T13" s="1"/>
  <c r="E12"/>
  <c r="T12" s="1"/>
  <c r="F9" i="2"/>
  <c r="G5" s="1"/>
  <c r="D15" i="3" s="1"/>
  <c r="H36" i="1"/>
  <c r="T40"/>
  <c r="T34"/>
  <c r="N30" s="1"/>
  <c r="N23"/>
  <c r="N17"/>
  <c r="N11" s="1"/>
  <c r="N21" s="1"/>
  <c r="N13" s="1"/>
  <c r="N29"/>
  <c r="B14" i="4"/>
  <c r="G5"/>
  <c r="E15" i="3" s="1"/>
  <c r="N25" i="1" l="1"/>
  <c r="H38"/>
  <c r="O127" i="6"/>
  <c r="S127" s="1"/>
  <c r="O111"/>
  <c r="S111" s="1"/>
  <c r="O95"/>
  <c r="S95" s="1"/>
  <c r="O79"/>
  <c r="S79" s="1"/>
  <c r="O63"/>
  <c r="S63" s="1"/>
  <c r="O47"/>
  <c r="S47" s="1"/>
  <c r="O31"/>
  <c r="S31" s="1"/>
  <c r="O15"/>
  <c r="S15" s="1"/>
  <c r="M116"/>
  <c r="Q116" s="1"/>
  <c r="M84"/>
  <c r="Q84" s="1"/>
  <c r="M36"/>
  <c r="Q36" s="1"/>
  <c r="O134"/>
  <c r="S134"/>
  <c r="O118"/>
  <c r="S118" s="1"/>
  <c r="O102"/>
  <c r="S102" s="1"/>
  <c r="O86"/>
  <c r="S86" s="1"/>
  <c r="O70"/>
  <c r="S70" s="1"/>
  <c r="O54"/>
  <c r="S54" s="1"/>
  <c r="O38"/>
  <c r="S38" s="1"/>
  <c r="O22"/>
  <c r="S22" s="1"/>
  <c r="M130"/>
  <c r="Q130" s="1"/>
  <c r="M98"/>
  <c r="Q98" s="1"/>
  <c r="M66"/>
  <c r="Q66" s="1"/>
  <c r="M34"/>
  <c r="Q34" s="1"/>
  <c r="N132"/>
  <c r="R132"/>
  <c r="N116"/>
  <c r="R116" s="1"/>
  <c r="N100"/>
  <c r="R100" s="1"/>
  <c r="N84"/>
  <c r="R84" s="1"/>
  <c r="N68"/>
  <c r="R68" s="1"/>
  <c r="N52"/>
  <c r="R52" s="1"/>
  <c r="N36"/>
  <c r="R36" s="1"/>
  <c r="N20"/>
  <c r="R20" s="1"/>
  <c r="M125"/>
  <c r="Q125" s="1"/>
  <c r="M93"/>
  <c r="Q93" s="1"/>
  <c r="M61"/>
  <c r="Q61" s="1"/>
  <c r="M29"/>
  <c r="Q29" s="1"/>
  <c r="M13"/>
  <c r="Q13" s="1"/>
  <c r="N81"/>
  <c r="R81" s="1"/>
  <c r="N17"/>
  <c r="R17" s="1"/>
  <c r="M23"/>
  <c r="Q23" s="1"/>
  <c r="N29"/>
  <c r="R29" s="1"/>
  <c r="N103"/>
  <c r="R103" s="1"/>
  <c r="N75"/>
  <c r="R75" s="1"/>
  <c r="M75"/>
  <c r="Q75" s="1"/>
  <c r="N69"/>
  <c r="R69" s="1"/>
  <c r="M15"/>
  <c r="Q15" s="1"/>
  <c r="M35"/>
  <c r="Q35" s="1"/>
  <c r="N71"/>
  <c r="R71" s="1"/>
  <c r="N63"/>
  <c r="R63" s="1"/>
  <c r="N47"/>
  <c r="R47" s="1"/>
  <c r="O129"/>
  <c r="S129" s="1"/>
  <c r="O113"/>
  <c r="S113" s="1"/>
  <c r="O97"/>
  <c r="S97" s="1"/>
  <c r="O81"/>
  <c r="S81" s="1"/>
  <c r="O65"/>
  <c r="S65" s="1"/>
  <c r="O49"/>
  <c r="S49" s="1"/>
  <c r="O33"/>
  <c r="S33" s="1"/>
  <c r="O17"/>
  <c r="S17" s="1"/>
  <c r="M120"/>
  <c r="Q120"/>
  <c r="M88"/>
  <c r="Q88" s="1"/>
  <c r="M56"/>
  <c r="Q56" s="1"/>
  <c r="O120"/>
  <c r="S120" s="1"/>
  <c r="O104"/>
  <c r="S104" s="1"/>
  <c r="O88"/>
  <c r="S88" s="1"/>
  <c r="O72"/>
  <c r="S72" s="1"/>
  <c r="O56"/>
  <c r="S56" s="1"/>
  <c r="O40"/>
  <c r="S40" s="1"/>
  <c r="O24"/>
  <c r="S24" s="1"/>
  <c r="M134"/>
  <c r="Q134"/>
  <c r="M102"/>
  <c r="Q102" s="1"/>
  <c r="M70"/>
  <c r="Q70" s="1"/>
  <c r="M38"/>
  <c r="Q38" s="1"/>
  <c r="N134"/>
  <c r="R134" s="1"/>
  <c r="N118"/>
  <c r="R118" s="1"/>
  <c r="N102"/>
  <c r="R102" s="1"/>
  <c r="N86"/>
  <c r="R86" s="1"/>
  <c r="N70"/>
  <c r="R70" s="1"/>
  <c r="N54"/>
  <c r="R54" s="1"/>
  <c r="N38"/>
  <c r="R38" s="1"/>
  <c r="N22"/>
  <c r="R22" s="1"/>
  <c r="M129"/>
  <c r="Q129"/>
  <c r="M97"/>
  <c r="Q97" s="1"/>
  <c r="M65"/>
  <c r="Q65" s="1"/>
  <c r="M33"/>
  <c r="Q33" s="1"/>
  <c r="N121"/>
  <c r="R121" s="1"/>
  <c r="N57"/>
  <c r="R57" s="1"/>
  <c r="M103"/>
  <c r="Q103" s="1"/>
  <c r="N101"/>
  <c r="R101" s="1"/>
  <c r="M79"/>
  <c r="Q79" s="1"/>
  <c r="N115"/>
  <c r="R115" s="1"/>
  <c r="N51"/>
  <c r="R51" s="1"/>
  <c r="M91"/>
  <c r="Q91" s="1"/>
  <c r="N93"/>
  <c r="R93" s="1"/>
  <c r="N21"/>
  <c r="R21" s="1"/>
  <c r="M47"/>
  <c r="Q47" s="1"/>
  <c r="N23"/>
  <c r="R23" s="1"/>
  <c r="N39"/>
  <c r="R39" s="1"/>
  <c r="N31"/>
  <c r="R31" s="1"/>
  <c r="M99"/>
  <c r="Q99" s="1"/>
  <c r="O131"/>
  <c r="S131"/>
  <c r="O123"/>
  <c r="S123" s="1"/>
  <c r="O115"/>
  <c r="S115"/>
  <c r="O107"/>
  <c r="S107" s="1"/>
  <c r="O99"/>
  <c r="S99" s="1"/>
  <c r="O91"/>
  <c r="S91" s="1"/>
  <c r="O83"/>
  <c r="S83" s="1"/>
  <c r="O75"/>
  <c r="S75" s="1"/>
  <c r="O67"/>
  <c r="S67" s="1"/>
  <c r="O59"/>
  <c r="S59" s="1"/>
  <c r="O51"/>
  <c r="S51" s="1"/>
  <c r="O43"/>
  <c r="S43" s="1"/>
  <c r="O35"/>
  <c r="S35" s="1"/>
  <c r="O27"/>
  <c r="S27" s="1"/>
  <c r="O19"/>
  <c r="S19" s="1"/>
  <c r="O11"/>
  <c r="S11" s="1"/>
  <c r="M124"/>
  <c r="Q124" s="1"/>
  <c r="M108"/>
  <c r="Q108"/>
  <c r="M92"/>
  <c r="Q92" s="1"/>
  <c r="M76"/>
  <c r="Q76" s="1"/>
  <c r="M60"/>
  <c r="Q60" s="1"/>
  <c r="M44"/>
  <c r="Q44" s="1"/>
  <c r="M28"/>
  <c r="Q28" s="1"/>
  <c r="M12"/>
  <c r="Q12" s="1"/>
  <c r="O130"/>
  <c r="S130" s="1"/>
  <c r="O122"/>
  <c r="S122" s="1"/>
  <c r="O114"/>
  <c r="S114" s="1"/>
  <c r="O106"/>
  <c r="S106" s="1"/>
  <c r="O98"/>
  <c r="S98" s="1"/>
  <c r="O90"/>
  <c r="S90" s="1"/>
  <c r="O82"/>
  <c r="S82" s="1"/>
  <c r="O74"/>
  <c r="S74" s="1"/>
  <c r="O66"/>
  <c r="S66" s="1"/>
  <c r="O58"/>
  <c r="S58" s="1"/>
  <c r="O50"/>
  <c r="S50" s="1"/>
  <c r="O42"/>
  <c r="S42" s="1"/>
  <c r="O34"/>
  <c r="S34" s="1"/>
  <c r="O26"/>
  <c r="S26" s="1"/>
  <c r="O18"/>
  <c r="S18" s="1"/>
  <c r="O10"/>
  <c r="S10" s="1"/>
  <c r="M122"/>
  <c r="Q122" s="1"/>
  <c r="M106"/>
  <c r="Q106" s="1"/>
  <c r="M90"/>
  <c r="Q90" s="1"/>
  <c r="M74"/>
  <c r="Q74" s="1"/>
  <c r="M58"/>
  <c r="Q58" s="1"/>
  <c r="M42"/>
  <c r="Q42" s="1"/>
  <c r="M26"/>
  <c r="Q26" s="1"/>
  <c r="M10"/>
  <c r="Q10" s="1"/>
  <c r="N128"/>
  <c r="R128"/>
  <c r="N120"/>
  <c r="R120" s="1"/>
  <c r="N112"/>
  <c r="R112" s="1"/>
  <c r="N104"/>
  <c r="R104" s="1"/>
  <c r="N96"/>
  <c r="R96" s="1"/>
  <c r="N88"/>
  <c r="R88" s="1"/>
  <c r="N80"/>
  <c r="R80" s="1"/>
  <c r="N72"/>
  <c r="R72" s="1"/>
  <c r="N64"/>
  <c r="R64" s="1"/>
  <c r="N56"/>
  <c r="R56" s="1"/>
  <c r="N48"/>
  <c r="R48" s="1"/>
  <c r="N40"/>
  <c r="R40" s="1"/>
  <c r="N32"/>
  <c r="R32" s="1"/>
  <c r="N24"/>
  <c r="R24" s="1"/>
  <c r="N16"/>
  <c r="R16" s="1"/>
  <c r="M133"/>
  <c r="Q133"/>
  <c r="M117"/>
  <c r="Q117" s="1"/>
  <c r="M101"/>
  <c r="Q101" s="1"/>
  <c r="M85"/>
  <c r="Q85" s="1"/>
  <c r="M69"/>
  <c r="Q69" s="1"/>
  <c r="M53"/>
  <c r="Q53" s="1"/>
  <c r="M37"/>
  <c r="Q37" s="1"/>
  <c r="M21"/>
  <c r="Q21" s="1"/>
  <c r="N129"/>
  <c r="R129"/>
  <c r="N97"/>
  <c r="R97" s="1"/>
  <c r="N65"/>
  <c r="R65" s="1"/>
  <c r="N33"/>
  <c r="R33" s="1"/>
  <c r="M119"/>
  <c r="Q119" s="1"/>
  <c r="M55"/>
  <c r="Q55" s="1"/>
  <c r="N117"/>
  <c r="R117" s="1"/>
  <c r="N61"/>
  <c r="R61" s="1"/>
  <c r="M111"/>
  <c r="Q111" s="1"/>
  <c r="N119"/>
  <c r="R119" s="1"/>
  <c r="N123"/>
  <c r="R123" s="1"/>
  <c r="N91"/>
  <c r="R91" s="1"/>
  <c r="N59"/>
  <c r="R59" s="1"/>
  <c r="N27"/>
  <c r="R27" s="1"/>
  <c r="M107"/>
  <c r="Q107" s="1"/>
  <c r="M43"/>
  <c r="Q43" s="1"/>
  <c r="N109"/>
  <c r="R109" s="1"/>
  <c r="N37"/>
  <c r="R37" s="1"/>
  <c r="M63"/>
  <c r="Q63" s="1"/>
  <c r="N87"/>
  <c r="R87" s="1"/>
  <c r="M131"/>
  <c r="Q131"/>
  <c r="M115"/>
  <c r="Q115" s="1"/>
  <c r="M83"/>
  <c r="Q83" s="1"/>
  <c r="M19"/>
  <c r="Q19" s="1"/>
  <c r="O119"/>
  <c r="S119" s="1"/>
  <c r="O103"/>
  <c r="S103" s="1"/>
  <c r="O87"/>
  <c r="S87" s="1"/>
  <c r="O71"/>
  <c r="S71" s="1"/>
  <c r="O55"/>
  <c r="S55" s="1"/>
  <c r="O39"/>
  <c r="S39" s="1"/>
  <c r="O23"/>
  <c r="S23" s="1"/>
  <c r="M132"/>
  <c r="Q132" s="1"/>
  <c r="M100"/>
  <c r="Q100" s="1"/>
  <c r="M68"/>
  <c r="Q68" s="1"/>
  <c r="M52"/>
  <c r="Q52" s="1"/>
  <c r="M20"/>
  <c r="Q20" s="1"/>
  <c r="O126"/>
  <c r="S126" s="1"/>
  <c r="O110"/>
  <c r="S110" s="1"/>
  <c r="O94"/>
  <c r="S94" s="1"/>
  <c r="O78"/>
  <c r="S78" s="1"/>
  <c r="O62"/>
  <c r="S62" s="1"/>
  <c r="O46"/>
  <c r="S46" s="1"/>
  <c r="O30"/>
  <c r="S30" s="1"/>
  <c r="O14"/>
  <c r="S14" s="1"/>
  <c r="M114"/>
  <c r="Q114" s="1"/>
  <c r="M82"/>
  <c r="Q82" s="1"/>
  <c r="M50"/>
  <c r="Q50" s="1"/>
  <c r="M18"/>
  <c r="Q18" s="1"/>
  <c r="N124"/>
  <c r="R124" s="1"/>
  <c r="N108"/>
  <c r="R108" s="1"/>
  <c r="N92"/>
  <c r="R92" s="1"/>
  <c r="N76"/>
  <c r="R76" s="1"/>
  <c r="N60"/>
  <c r="R60" s="1"/>
  <c r="N44"/>
  <c r="R44" s="1"/>
  <c r="N28"/>
  <c r="R28" s="1"/>
  <c r="N12"/>
  <c r="R12" s="1"/>
  <c r="M109"/>
  <c r="Q109" s="1"/>
  <c r="M77"/>
  <c r="Q77" s="1"/>
  <c r="M45"/>
  <c r="Q45" s="1"/>
  <c r="N113"/>
  <c r="R113" s="1"/>
  <c r="N49"/>
  <c r="R49" s="1"/>
  <c r="M87"/>
  <c r="Q87" s="1"/>
  <c r="N85"/>
  <c r="R85" s="1"/>
  <c r="M31"/>
  <c r="Q31" s="1"/>
  <c r="N107"/>
  <c r="R107" s="1"/>
  <c r="N43"/>
  <c r="R43" s="1"/>
  <c r="N11"/>
  <c r="R11" s="1"/>
  <c r="M11"/>
  <c r="Q11" s="1"/>
  <c r="M127"/>
  <c r="Q127"/>
  <c r="N79"/>
  <c r="R79" s="1"/>
  <c r="O121"/>
  <c r="S121" s="1"/>
  <c r="O105"/>
  <c r="S105" s="1"/>
  <c r="O89"/>
  <c r="S89" s="1"/>
  <c r="O73"/>
  <c r="S73" s="1"/>
  <c r="O57"/>
  <c r="S57" s="1"/>
  <c r="O41"/>
  <c r="S41" s="1"/>
  <c r="O25"/>
  <c r="S25" s="1"/>
  <c r="O9"/>
  <c r="S9" s="1"/>
  <c r="M104"/>
  <c r="Q104" s="1"/>
  <c r="M72"/>
  <c r="Q72" s="1"/>
  <c r="M40"/>
  <c r="Q40" s="1"/>
  <c r="M24"/>
  <c r="Q24" s="1"/>
  <c r="O128"/>
  <c r="S128"/>
  <c r="O112"/>
  <c r="S112" s="1"/>
  <c r="O96"/>
  <c r="S96" s="1"/>
  <c r="O80"/>
  <c r="S80" s="1"/>
  <c r="O64"/>
  <c r="S64" s="1"/>
  <c r="O48"/>
  <c r="S48" s="1"/>
  <c r="O32"/>
  <c r="S32" s="1"/>
  <c r="O16"/>
  <c r="S16" s="1"/>
  <c r="M118"/>
  <c r="Q118" s="1"/>
  <c r="M86"/>
  <c r="Q86" s="1"/>
  <c r="M54"/>
  <c r="Q54" s="1"/>
  <c r="M22"/>
  <c r="Q22" s="1"/>
  <c r="N126"/>
  <c r="R126"/>
  <c r="N110"/>
  <c r="R110" s="1"/>
  <c r="N94"/>
  <c r="R94" s="1"/>
  <c r="N78"/>
  <c r="R78" s="1"/>
  <c r="N62"/>
  <c r="R62" s="1"/>
  <c r="N46"/>
  <c r="R46" s="1"/>
  <c r="N30"/>
  <c r="R30" s="1"/>
  <c r="N14"/>
  <c r="R14" s="1"/>
  <c r="M113"/>
  <c r="Q113" s="1"/>
  <c r="M81"/>
  <c r="Q81" s="1"/>
  <c r="M49"/>
  <c r="Q49" s="1"/>
  <c r="M17"/>
  <c r="Q17" s="1"/>
  <c r="N89"/>
  <c r="R89" s="1"/>
  <c r="N25"/>
  <c r="R25" s="1"/>
  <c r="M39"/>
  <c r="Q39" s="1"/>
  <c r="N45"/>
  <c r="R45" s="1"/>
  <c r="N111"/>
  <c r="R111" s="1"/>
  <c r="N83"/>
  <c r="R83" s="1"/>
  <c r="N19"/>
  <c r="R19" s="1"/>
  <c r="M27"/>
  <c r="Q27" s="1"/>
  <c r="N15"/>
  <c r="R15" s="1"/>
  <c r="O125"/>
  <c r="S125" s="1"/>
  <c r="O117"/>
  <c r="S117" s="1"/>
  <c r="O109"/>
  <c r="S109" s="1"/>
  <c r="O101"/>
  <c r="S101" s="1"/>
  <c r="O93"/>
  <c r="S93" s="1"/>
  <c r="O85"/>
  <c r="S85" s="1"/>
  <c r="O77"/>
  <c r="S77" s="1"/>
  <c r="O69"/>
  <c r="S69" s="1"/>
  <c r="O61"/>
  <c r="S61" s="1"/>
  <c r="O53"/>
  <c r="S53" s="1"/>
  <c r="O45"/>
  <c r="S45" s="1"/>
  <c r="O37"/>
  <c r="S37" s="1"/>
  <c r="O29"/>
  <c r="S29" s="1"/>
  <c r="O21"/>
  <c r="S21" s="1"/>
  <c r="O13"/>
  <c r="S13" s="1"/>
  <c r="M128"/>
  <c r="Q128"/>
  <c r="M112"/>
  <c r="Q112" s="1"/>
  <c r="M96"/>
  <c r="Q96" s="1"/>
  <c r="M80"/>
  <c r="Q80" s="1"/>
  <c r="M64"/>
  <c r="Q64" s="1"/>
  <c r="M48"/>
  <c r="Q48" s="1"/>
  <c r="M32"/>
  <c r="Q32" s="1"/>
  <c r="M16"/>
  <c r="Q16" s="1"/>
  <c r="O132"/>
  <c r="S132" s="1"/>
  <c r="O124"/>
  <c r="S124" s="1"/>
  <c r="O116"/>
  <c r="S116" s="1"/>
  <c r="O108"/>
  <c r="S108" s="1"/>
  <c r="O100"/>
  <c r="S100" s="1"/>
  <c r="O92"/>
  <c r="S92" s="1"/>
  <c r="O84"/>
  <c r="S84" s="1"/>
  <c r="O76"/>
  <c r="S76" s="1"/>
  <c r="O68"/>
  <c r="S68" s="1"/>
  <c r="O60"/>
  <c r="S60" s="1"/>
  <c r="O52"/>
  <c r="S52" s="1"/>
  <c r="O44"/>
  <c r="S44" s="1"/>
  <c r="O36"/>
  <c r="S36" s="1"/>
  <c r="O28"/>
  <c r="S28" s="1"/>
  <c r="O20"/>
  <c r="S20" s="1"/>
  <c r="O12"/>
  <c r="S12" s="1"/>
  <c r="M126"/>
  <c r="Q126" s="1"/>
  <c r="M110"/>
  <c r="Q110" s="1"/>
  <c r="M94"/>
  <c r="Q94" s="1"/>
  <c r="M78"/>
  <c r="Q78" s="1"/>
  <c r="M62"/>
  <c r="Q62" s="1"/>
  <c r="M46"/>
  <c r="Q46" s="1"/>
  <c r="M30"/>
  <c r="Q30" s="1"/>
  <c r="M14"/>
  <c r="Q14" s="1"/>
  <c r="N130"/>
  <c r="R130"/>
  <c r="N122"/>
  <c r="R122" s="1"/>
  <c r="N114"/>
  <c r="R114" s="1"/>
  <c r="N106"/>
  <c r="R106" s="1"/>
  <c r="N98"/>
  <c r="R98" s="1"/>
  <c r="N90"/>
  <c r="R90" s="1"/>
  <c r="N82"/>
  <c r="R82" s="1"/>
  <c r="N74"/>
  <c r="R74" s="1"/>
  <c r="N66"/>
  <c r="R66" s="1"/>
  <c r="N58"/>
  <c r="R58" s="1"/>
  <c r="N50"/>
  <c r="R50" s="1"/>
  <c r="N42"/>
  <c r="R42" s="1"/>
  <c r="N34"/>
  <c r="R34" s="1"/>
  <c r="N26"/>
  <c r="R26" s="1"/>
  <c r="N18"/>
  <c r="R18" s="1"/>
  <c r="N10"/>
  <c r="R10" s="1"/>
  <c r="M121"/>
  <c r="Q121"/>
  <c r="M105"/>
  <c r="Q105" s="1"/>
  <c r="M89"/>
  <c r="Q89" s="1"/>
  <c r="M73"/>
  <c r="Q73" s="1"/>
  <c r="M57"/>
  <c r="Q57" s="1"/>
  <c r="M41"/>
  <c r="Q41" s="1"/>
  <c r="M25"/>
  <c r="Q25" s="1"/>
  <c r="M9"/>
  <c r="Q9" s="1"/>
  <c r="N105"/>
  <c r="R105" s="1"/>
  <c r="N73"/>
  <c r="R73" s="1"/>
  <c r="N41"/>
  <c r="R41" s="1"/>
  <c r="N9"/>
  <c r="R9" s="1"/>
  <c r="M71"/>
  <c r="Q71" s="1"/>
  <c r="N133"/>
  <c r="R133"/>
  <c r="N77"/>
  <c r="R77" s="1"/>
  <c r="N13"/>
  <c r="R13" s="1"/>
  <c r="N127"/>
  <c r="R127"/>
  <c r="N131"/>
  <c r="R131" s="1"/>
  <c r="N99"/>
  <c r="R99" s="1"/>
  <c r="N67"/>
  <c r="R67" s="1"/>
  <c r="N35"/>
  <c r="R35" s="1"/>
  <c r="M123"/>
  <c r="Q123" s="1"/>
  <c r="M59"/>
  <c r="Q59" s="1"/>
  <c r="N125"/>
  <c r="R125" s="1"/>
  <c r="N53"/>
  <c r="R53" s="1"/>
  <c r="M95"/>
  <c r="Q95" s="1"/>
  <c r="O133"/>
  <c r="S133" s="1"/>
  <c r="M67"/>
  <c r="Q67" s="1"/>
  <c r="M51"/>
  <c r="Q51" s="1"/>
  <c r="N95"/>
  <c r="R95" s="1"/>
  <c r="N55"/>
  <c r="R55" s="1"/>
  <c r="C15"/>
  <c r="E14"/>
  <c r="T14" s="1"/>
  <c r="B14" i="2"/>
  <c r="B24" i="4"/>
  <c r="B24" i="2"/>
  <c r="N12" i="1"/>
  <c r="N10"/>
  <c r="T42" s="1"/>
  <c r="H40" s="1"/>
  <c r="N28"/>
  <c r="B9" i="2"/>
  <c r="F36" s="1"/>
  <c r="B9" i="4"/>
  <c r="F36" s="1"/>
  <c r="C16" i="6" l="1"/>
  <c r="E15"/>
  <c r="T15" s="1"/>
  <c r="F38" i="2"/>
  <c r="F42" s="1"/>
  <c r="F37"/>
  <c r="F41" s="1"/>
  <c r="F40"/>
  <c r="F40" i="4"/>
  <c r="F37"/>
  <c r="F41" s="1"/>
  <c r="F38"/>
  <c r="F42" s="1"/>
  <c r="B25"/>
  <c r="B26" s="1"/>
  <c r="C24" s="1"/>
  <c r="B10" s="1"/>
  <c r="B25" i="2"/>
  <c r="B26" s="1"/>
  <c r="C24" s="1"/>
  <c r="B10" s="1"/>
  <c r="T18" i="1"/>
  <c r="N16" s="1"/>
  <c r="N27" s="1"/>
  <c r="B8" i="4"/>
  <c r="S10" i="1"/>
  <c r="B8" i="2"/>
  <c r="C17" i="6" l="1"/>
  <c r="E16"/>
  <c r="T16" s="1"/>
  <c r="B5" i="2"/>
  <c r="B17"/>
  <c r="B20" s="1"/>
  <c r="D16" i="3" s="1"/>
  <c r="B17" i="4"/>
  <c r="B5"/>
  <c r="C18" i="6" l="1"/>
  <c r="E17"/>
  <c r="T17" s="1"/>
  <c r="F16" i="4"/>
  <c r="F22" s="1"/>
  <c r="F12"/>
  <c r="E19" i="3"/>
  <c r="E22" s="1"/>
  <c r="J16" i="4"/>
  <c r="E3" i="2"/>
  <c r="H8" i="3" s="1"/>
  <c r="D14"/>
  <c r="E3" i="4"/>
  <c r="H9" i="3" s="1"/>
  <c r="E14"/>
  <c r="F16" i="2"/>
  <c r="F12"/>
  <c r="D19" i="3"/>
  <c r="D22" s="1"/>
  <c r="J16" i="2"/>
  <c r="F22"/>
  <c r="B20" i="4"/>
  <c r="E16" i="3" s="1"/>
  <c r="G16" s="1"/>
  <c r="C19" i="6" l="1"/>
  <c r="E18"/>
  <c r="T18" s="1"/>
  <c r="J18" i="2"/>
  <c r="J17"/>
  <c r="J18" i="4"/>
  <c r="J17"/>
  <c r="F23"/>
  <c r="F27" s="1"/>
  <c r="F26"/>
  <c r="F23" i="2"/>
  <c r="F27" s="1"/>
  <c r="F26"/>
  <c r="F18"/>
  <c r="F17"/>
  <c r="F18" i="4"/>
  <c r="F17"/>
  <c r="L24" i="3"/>
  <c r="D25" s="1"/>
  <c r="M24"/>
  <c r="E25" s="1"/>
  <c r="C20" i="6" l="1"/>
  <c r="E19"/>
  <c r="T19" s="1"/>
  <c r="F29" i="2"/>
  <c r="D20" i="3" s="1"/>
  <c r="F19" i="2"/>
  <c r="F20" s="1"/>
  <c r="D17" i="3"/>
  <c r="J22" i="2"/>
  <c r="F29" i="4"/>
  <c r="E20" i="3" s="1"/>
  <c r="F19" i="4"/>
  <c r="F20" s="1"/>
  <c r="J29"/>
  <c r="M25" i="3" s="1"/>
  <c r="E26" s="1"/>
  <c r="J19" i="4"/>
  <c r="J20" s="1"/>
  <c r="J29" i="2"/>
  <c r="L25" i="3" s="1"/>
  <c r="D26" s="1"/>
  <c r="J19" i="2"/>
  <c r="J20" s="1"/>
  <c r="E17" i="3"/>
  <c r="J22" i="4"/>
  <c r="C21" i="6" l="1"/>
  <c r="E20"/>
  <c r="T20" s="1"/>
  <c r="G20" i="3"/>
  <c r="G26"/>
  <c r="J23" i="4"/>
  <c r="J27" s="1"/>
  <c r="J26"/>
  <c r="J23" i="2"/>
  <c r="J27" s="1"/>
  <c r="J26"/>
  <c r="C22" i="6" l="1"/>
  <c r="E21"/>
  <c r="T21" s="1"/>
  <c r="C23" l="1"/>
  <c r="E22"/>
  <c r="T22" s="1"/>
  <c r="C24" l="1"/>
  <c r="E23"/>
  <c r="T23" s="1"/>
  <c r="C25" l="1"/>
  <c r="E24"/>
  <c r="T24" s="1"/>
  <c r="C26" l="1"/>
  <c r="E25"/>
  <c r="T25" s="1"/>
  <c r="C27" l="1"/>
  <c r="E26"/>
  <c r="T26" s="1"/>
  <c r="C28" l="1"/>
  <c r="E27"/>
  <c r="T27" s="1"/>
  <c r="C29" l="1"/>
  <c r="E28"/>
  <c r="T28" s="1"/>
  <c r="C30" l="1"/>
  <c r="E29"/>
  <c r="T29" s="1"/>
  <c r="C31" l="1"/>
  <c r="E30"/>
  <c r="T30" s="1"/>
  <c r="C32" l="1"/>
  <c r="E31"/>
  <c r="T31" s="1"/>
  <c r="C33" l="1"/>
  <c r="E32"/>
  <c r="T32" s="1"/>
  <c r="C34" l="1"/>
  <c r="E34" s="1"/>
  <c r="T34" s="1"/>
  <c r="E33"/>
  <c r="T33" s="1"/>
</calcChain>
</file>

<file path=xl/sharedStrings.xml><?xml version="1.0" encoding="utf-8"?>
<sst xmlns="http://schemas.openxmlformats.org/spreadsheetml/2006/main" count="318" uniqueCount="167">
  <si>
    <t>NCL3008X Design Guide</t>
  </si>
  <si>
    <t>Line Input</t>
  </si>
  <si>
    <t>Maximum Line Voltage</t>
  </si>
  <si>
    <t>Minimum Line Voltage</t>
  </si>
  <si>
    <t>V ac</t>
  </si>
  <si>
    <t>Hz</t>
  </si>
  <si>
    <t xml:space="preserve">Load </t>
  </si>
  <si>
    <t>V dc</t>
  </si>
  <si>
    <t>Line Frequency</t>
  </si>
  <si>
    <t>Architecture</t>
  </si>
  <si>
    <t>Topology</t>
  </si>
  <si>
    <t>Flyback</t>
  </si>
  <si>
    <t>Buck-Boost</t>
  </si>
  <si>
    <t>Turns Ratio</t>
  </si>
  <si>
    <t>mA dc</t>
  </si>
  <si>
    <t>Front End</t>
  </si>
  <si>
    <t>Peak Charge</t>
  </si>
  <si>
    <t>Valley Fill</t>
  </si>
  <si>
    <t>Maximum Switching Frequency</t>
  </si>
  <si>
    <t>kHz</t>
  </si>
  <si>
    <t>Calculated Parameters</t>
  </si>
  <si>
    <t>Primary Inductance</t>
  </si>
  <si>
    <t>Maximum Duty Cycle</t>
  </si>
  <si>
    <t>Minimum Duty Cycle</t>
  </si>
  <si>
    <t>Volts</t>
  </si>
  <si>
    <t>Minimum Frequency</t>
  </si>
  <si>
    <t>A</t>
  </si>
  <si>
    <t>uH</t>
  </si>
  <si>
    <t xml:space="preserve">Ripple Current </t>
  </si>
  <si>
    <t xml:space="preserve">Required Area Product </t>
  </si>
  <si>
    <r>
      <t>cm</t>
    </r>
    <r>
      <rPr>
        <b/>
        <vertAlign val="superscript"/>
        <sz val="12"/>
        <rFont val="Times New Roman"/>
        <family val="1"/>
      </rPr>
      <t>4</t>
    </r>
  </si>
  <si>
    <t>Core Area Product</t>
  </si>
  <si>
    <t>Inductor Requirements</t>
  </si>
  <si>
    <t>Core Parameters</t>
  </si>
  <si>
    <t>Inductance</t>
  </si>
  <si>
    <t>Core Area</t>
  </si>
  <si>
    <r>
      <t>cm</t>
    </r>
    <r>
      <rPr>
        <vertAlign val="superscript"/>
        <sz val="10"/>
        <rFont val="Times New Roman"/>
        <family val="1"/>
      </rPr>
      <t>2</t>
    </r>
  </si>
  <si>
    <t>Saturation Current</t>
  </si>
  <si>
    <t>Amps</t>
  </si>
  <si>
    <t>Bobbin Area</t>
  </si>
  <si>
    <t>RMS Current</t>
  </si>
  <si>
    <t>Mean Winding Length</t>
  </si>
  <si>
    <t>cm</t>
  </si>
  <si>
    <t>Target Current Density</t>
  </si>
  <si>
    <r>
      <t>A/cm</t>
    </r>
    <r>
      <rPr>
        <vertAlign val="superscript"/>
        <sz val="10"/>
        <rFont val="Times New Roman"/>
        <family val="1"/>
      </rPr>
      <t>2</t>
    </r>
  </si>
  <si>
    <t>Core Volume</t>
  </si>
  <si>
    <r>
      <t>cm</t>
    </r>
    <r>
      <rPr>
        <vertAlign val="superscript"/>
        <sz val="10"/>
        <rFont val="Times New Roman"/>
        <family val="1"/>
      </rPr>
      <t>3</t>
    </r>
  </si>
  <si>
    <t>Fill Factor</t>
  </si>
  <si>
    <r>
      <t>Wires/in</t>
    </r>
    <r>
      <rPr>
        <vertAlign val="superscript"/>
        <sz val="10"/>
        <rFont val="Times New Roman"/>
        <family val="1"/>
      </rPr>
      <t>2</t>
    </r>
  </si>
  <si>
    <t>Flux Density @ Isat</t>
  </si>
  <si>
    <t>Tesla</t>
  </si>
  <si>
    <t>Mean Path Length</t>
  </si>
  <si>
    <t>Winding Area</t>
  </si>
  <si>
    <t>Mu Relative</t>
  </si>
  <si>
    <t>Wire Crossection Area</t>
  </si>
  <si>
    <t>Required Turns</t>
  </si>
  <si>
    <t>Calculated Current Density</t>
  </si>
  <si>
    <t>Wire Diameter</t>
  </si>
  <si>
    <t>in</t>
  </si>
  <si>
    <r>
      <t>A</t>
    </r>
    <r>
      <rPr>
        <vertAlign val="subscript"/>
        <sz val="10"/>
        <rFont val="Times New Roman"/>
        <family val="1"/>
      </rPr>
      <t>L</t>
    </r>
  </si>
  <si>
    <t>Caution Under 100</t>
  </si>
  <si>
    <t>mm</t>
  </si>
  <si>
    <t>DCR</t>
  </si>
  <si>
    <t>milli-Ohms @ 25C</t>
  </si>
  <si>
    <t>milli-Ohms @ 100C</t>
  </si>
  <si>
    <t>Copper Loss</t>
  </si>
  <si>
    <t>Watts @ 25C</t>
  </si>
  <si>
    <t>Watts @ 100C</t>
  </si>
  <si>
    <t>Wire Gauge</t>
  </si>
  <si>
    <t>AWG</t>
  </si>
  <si>
    <t>Flux Swing</t>
  </si>
  <si>
    <t>P-P Ripple Current</t>
  </si>
  <si>
    <t>P-P Flux</t>
  </si>
  <si>
    <t>Gauss</t>
  </si>
  <si>
    <t>milli-Tesla</t>
  </si>
  <si>
    <t>Peak Flux</t>
  </si>
  <si>
    <t>Loss Factor</t>
  </si>
  <si>
    <r>
      <t>mW/cm</t>
    </r>
    <r>
      <rPr>
        <vertAlign val="superscript"/>
        <sz val="10"/>
        <rFont val="Times New Roman"/>
        <family val="1"/>
      </rPr>
      <t xml:space="preserve">3 </t>
    </r>
    <r>
      <rPr>
        <sz val="10"/>
        <rFont val="Times New Roman"/>
        <family val="1"/>
      </rPr>
      <t>or kW/m</t>
    </r>
    <r>
      <rPr>
        <vertAlign val="superscript"/>
        <sz val="10"/>
        <rFont val="Times New Roman"/>
        <family val="1"/>
      </rPr>
      <t>3</t>
    </r>
  </si>
  <si>
    <t>AC Losses</t>
  </si>
  <si>
    <t>mW</t>
  </si>
  <si>
    <t>Notes:</t>
  </si>
  <si>
    <t>1.  Peak Voltages do not include leakage inductance spike</t>
  </si>
  <si>
    <t xml:space="preserve">Peak Primary Current </t>
  </si>
  <si>
    <t>A RMS</t>
  </si>
  <si>
    <t>Secondary Current</t>
  </si>
  <si>
    <r>
      <t>Vcc Rectifer Voltage</t>
    </r>
    <r>
      <rPr>
        <vertAlign val="superscript"/>
        <sz val="14"/>
        <color indexed="8"/>
        <rFont val="Calibri"/>
        <family val="2"/>
      </rPr>
      <t>1</t>
    </r>
  </si>
  <si>
    <t>Output Capacitance</t>
  </si>
  <si>
    <r>
      <rPr>
        <sz val="14"/>
        <color indexed="8"/>
        <rFont val="Calibri"/>
        <family val="2"/>
      </rPr>
      <t>µ</t>
    </r>
    <r>
      <rPr>
        <sz val="14"/>
        <color indexed="8"/>
        <rFont val="Calibri"/>
        <family val="2"/>
      </rPr>
      <t>H</t>
    </r>
  </si>
  <si>
    <r>
      <rPr>
        <sz val="14"/>
        <color indexed="8"/>
        <rFont val="Calibri"/>
        <family val="2"/>
      </rPr>
      <t>µ</t>
    </r>
    <r>
      <rPr>
        <sz val="14"/>
        <color indexed="8"/>
        <rFont val="Calibri"/>
        <family val="2"/>
      </rPr>
      <t>F</t>
    </r>
  </si>
  <si>
    <t>Ω</t>
  </si>
  <si>
    <t>mA P-P</t>
  </si>
  <si>
    <t>Primary Current</t>
  </si>
  <si>
    <t>Rsense</t>
  </si>
  <si>
    <t>This Design Guide is intended to aid the designer and is not intended as a guarantee of performance.</t>
  </si>
  <si>
    <t>Designer Input</t>
  </si>
  <si>
    <t>Calculated Results</t>
  </si>
  <si>
    <t>Input Parameters</t>
  </si>
  <si>
    <t>RMS Capacitor Current</t>
  </si>
  <si>
    <t>EE16</t>
  </si>
  <si>
    <t>EE13</t>
  </si>
  <si>
    <t>EP13</t>
  </si>
  <si>
    <t>RM6</t>
  </si>
  <si>
    <t>EFD15</t>
  </si>
  <si>
    <t>EFD20</t>
  </si>
  <si>
    <t>Core</t>
  </si>
  <si>
    <t>Bmax in Tesla</t>
  </si>
  <si>
    <t>Ae</t>
  </si>
  <si>
    <t>Wa</t>
  </si>
  <si>
    <t>PQ2016</t>
  </si>
  <si>
    <t>RM8</t>
  </si>
  <si>
    <t>RM6I</t>
  </si>
  <si>
    <t>RM8I</t>
  </si>
  <si>
    <t>Other</t>
  </si>
  <si>
    <t>Core Selector</t>
  </si>
  <si>
    <t>Inductor Design</t>
  </si>
  <si>
    <t xml:space="preserve">Primary </t>
  </si>
  <si>
    <t>Turns</t>
  </si>
  <si>
    <t xml:space="preserve">Aux Winding </t>
  </si>
  <si>
    <t>Secondary</t>
  </si>
  <si>
    <t>Sec Turns</t>
  </si>
  <si>
    <t>Fit Check</t>
  </si>
  <si>
    <t>Req'd Area Product</t>
  </si>
  <si>
    <t>Available Area Product</t>
  </si>
  <si>
    <r>
      <t>nH/T</t>
    </r>
    <r>
      <rPr>
        <vertAlign val="superscript"/>
        <sz val="14"/>
        <color indexed="8"/>
        <rFont val="Calibri"/>
        <family val="2"/>
      </rPr>
      <t>2</t>
    </r>
  </si>
  <si>
    <r>
      <t>mm</t>
    </r>
    <r>
      <rPr>
        <vertAlign val="superscript"/>
        <sz val="14"/>
        <color indexed="8"/>
        <rFont val="Calibri"/>
        <family val="2"/>
      </rPr>
      <t>4</t>
    </r>
  </si>
  <si>
    <t>Gauge</t>
  </si>
  <si>
    <r>
      <t>A/cm</t>
    </r>
    <r>
      <rPr>
        <vertAlign val="superscript"/>
        <sz val="14"/>
        <color indexed="8"/>
        <rFont val="Calibri"/>
        <family val="2"/>
      </rPr>
      <t>2</t>
    </r>
  </si>
  <si>
    <t>Good Fit</t>
  </si>
  <si>
    <t>Too Small</t>
  </si>
  <si>
    <r>
      <t>Core Area mm</t>
    </r>
    <r>
      <rPr>
        <b/>
        <vertAlign val="superscript"/>
        <sz val="14"/>
        <color indexed="8"/>
        <rFont val="Calibri"/>
        <family val="2"/>
      </rPr>
      <t>2</t>
    </r>
  </si>
  <si>
    <r>
      <t>Window Area mm</t>
    </r>
    <r>
      <rPr>
        <b/>
        <vertAlign val="superscript"/>
        <sz val="14"/>
        <color indexed="8"/>
        <rFont val="Calibri"/>
        <family val="2"/>
      </rPr>
      <t>2</t>
    </r>
  </si>
  <si>
    <r>
      <t>Current Density A/cm</t>
    </r>
    <r>
      <rPr>
        <b/>
        <vertAlign val="superscript"/>
        <sz val="14"/>
        <color indexed="8"/>
        <rFont val="Calibri"/>
        <family val="2"/>
      </rPr>
      <t>2</t>
    </r>
  </si>
  <si>
    <t>Units</t>
  </si>
  <si>
    <t>Pri RMS</t>
  </si>
  <si>
    <t>Sec RMS</t>
  </si>
  <si>
    <r>
      <t>A</t>
    </r>
    <r>
      <rPr>
        <b/>
        <vertAlign val="subscript"/>
        <sz val="14"/>
        <color indexed="8"/>
        <rFont val="Calibri"/>
        <family val="2"/>
      </rPr>
      <t>L</t>
    </r>
  </si>
  <si>
    <t>IEC61000-3-2</t>
  </si>
  <si>
    <t>Pout</t>
  </si>
  <si>
    <t>LED Vf Max</t>
  </si>
  <si>
    <t>LED Vf Min</t>
  </si>
  <si>
    <t>Min Vcc Voltage</t>
  </si>
  <si>
    <t>Vcc Min</t>
  </si>
  <si>
    <t>Vcc Max</t>
  </si>
  <si>
    <t>Max Vcc Voltage</t>
  </si>
  <si>
    <t xml:space="preserve">LED Dynamic Resistance </t>
  </si>
  <si>
    <t>LED Current</t>
  </si>
  <si>
    <t>FET Current</t>
  </si>
  <si>
    <r>
      <t>Peak FET Voltage</t>
    </r>
    <r>
      <rPr>
        <vertAlign val="superscript"/>
        <sz val="14"/>
        <color indexed="8"/>
        <rFont val="Calibri"/>
        <family val="2"/>
      </rPr>
      <t>1</t>
    </r>
  </si>
  <si>
    <r>
      <t>Peak Output Rectifier Voltage</t>
    </r>
    <r>
      <rPr>
        <vertAlign val="superscript"/>
        <sz val="14"/>
        <color indexed="8"/>
        <rFont val="Calibri"/>
        <family val="2"/>
      </rPr>
      <t>1</t>
    </r>
  </si>
  <si>
    <t>Vprim</t>
  </si>
  <si>
    <t>Toff</t>
  </si>
  <si>
    <t>NCL3008X Thermal Foldback Calculator</t>
  </si>
  <si>
    <t>Rtco</t>
  </si>
  <si>
    <r>
      <t>k</t>
    </r>
    <r>
      <rPr>
        <sz val="11"/>
        <color theme="1"/>
        <rFont val="Calibri"/>
        <family val="2"/>
      </rPr>
      <t>Ω</t>
    </r>
  </si>
  <si>
    <t>Isd</t>
  </si>
  <si>
    <t>µA</t>
  </si>
  <si>
    <t>Rtco_trim</t>
  </si>
  <si>
    <t>Temp</t>
  </si>
  <si>
    <t>Coeff</t>
  </si>
  <si>
    <t>Vsd</t>
  </si>
  <si>
    <t>Output Pct</t>
  </si>
  <si>
    <t>TCO</t>
  </si>
  <si>
    <t>NCL30082/3 Thermal Foldback Calculator</t>
  </si>
  <si>
    <t>Minimum</t>
  </si>
  <si>
    <t>Nominal</t>
  </si>
  <si>
    <t>Maximum</t>
  </si>
  <si>
    <t xml:space="preserve">Version 1.0 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</si>
</sst>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32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vertAlign val="subscript"/>
      <sz val="10"/>
      <name val="Times New Roman"/>
      <family val="1"/>
    </font>
    <font>
      <sz val="10"/>
      <color indexed="10"/>
      <name val="Times New Roman"/>
      <family val="1"/>
    </font>
    <font>
      <sz val="10"/>
      <name val="Times New Roman"/>
      <family val="1"/>
    </font>
    <font>
      <sz val="14"/>
      <color indexed="8"/>
      <name val="Calibri"/>
      <family val="2"/>
    </font>
    <font>
      <vertAlign val="superscript"/>
      <sz val="14"/>
      <color indexed="8"/>
      <name val="Calibri"/>
      <family val="2"/>
    </font>
    <font>
      <b/>
      <vertAlign val="superscript"/>
      <sz val="14"/>
      <color indexed="8"/>
      <name val="Calibri"/>
      <family val="2"/>
    </font>
    <font>
      <b/>
      <vertAlign val="subscript"/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rgb="FFFF0000"/>
      <name val="Times New Roman"/>
      <family val="1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5" fillId="0" borderId="1" xfId="0" applyFont="1" applyBorder="1" applyAlignment="1">
      <alignment horizontal="center"/>
    </xf>
    <xf numFmtId="1" fontId="15" fillId="4" borderId="1" xfId="0" applyNumberFormat="1" applyFont="1" applyFill="1" applyBorder="1" applyAlignment="1">
      <alignment horizontal="center"/>
    </xf>
    <xf numFmtId="164" fontId="15" fillId="4" borderId="1" xfId="0" applyNumberFormat="1" applyFont="1" applyFill="1" applyBorder="1" applyAlignment="1">
      <alignment horizontal="center"/>
    </xf>
    <xf numFmtId="0" fontId="15" fillId="0" borderId="1" xfId="0" applyFont="1" applyBorder="1"/>
    <xf numFmtId="9" fontId="15" fillId="4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165" fontId="0" fillId="5" borderId="0" xfId="0" applyNumberFormat="1" applyFill="1" applyAlignment="1">
      <alignment horizontal="center"/>
    </xf>
    <xf numFmtId="0" fontId="7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5" borderId="0" xfId="0" applyNumberForma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166" fontId="0" fillId="0" borderId="0" xfId="0" applyNumberFormat="1" applyAlignment="1">
      <alignment horizontal="center"/>
    </xf>
    <xf numFmtId="1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15" fillId="6" borderId="0" xfId="0" applyFont="1" applyFill="1"/>
    <xf numFmtId="0" fontId="0" fillId="6" borderId="0" xfId="0" applyFill="1" applyBorder="1"/>
    <xf numFmtId="0" fontId="19" fillId="6" borderId="0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14" fontId="20" fillId="6" borderId="0" xfId="0" applyNumberFormat="1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2" fontId="15" fillId="4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64" fontId="15" fillId="7" borderId="1" xfId="0" applyNumberFormat="1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49" fontId="17" fillId="0" borderId="0" xfId="0" applyNumberFormat="1" applyFont="1"/>
    <xf numFmtId="49" fontId="14" fillId="0" borderId="0" xfId="0" applyNumberFormat="1" applyFont="1"/>
    <xf numFmtId="0" fontId="23" fillId="0" borderId="1" xfId="0" applyFont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1" fontId="15" fillId="7" borderId="1" xfId="0" applyNumberFormat="1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15" fillId="3" borderId="1" xfId="0" applyFont="1" applyFill="1" applyBorder="1" applyAlignment="1" applyProtection="1">
      <alignment horizontal="center"/>
      <protection locked="0"/>
    </xf>
    <xf numFmtId="0" fontId="23" fillId="9" borderId="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23" fillId="10" borderId="1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6" fillId="0" borderId="0" xfId="0" applyFont="1"/>
    <xf numFmtId="0" fontId="15" fillId="3" borderId="2" xfId="0" applyFont="1" applyFill="1" applyBorder="1" applyAlignment="1" applyProtection="1">
      <alignment horizontal="center"/>
      <protection locked="0"/>
    </xf>
    <xf numFmtId="0" fontId="15" fillId="0" borderId="1" xfId="0" applyFont="1" applyBorder="1" applyAlignment="1">
      <alignment horizontal="center"/>
    </xf>
    <xf numFmtId="0" fontId="28" fillId="0" borderId="0" xfId="0" applyFont="1"/>
    <xf numFmtId="2" fontId="0" fillId="0" borderId="0" xfId="0" applyNumberFormat="1"/>
    <xf numFmtId="0" fontId="2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65" fontId="15" fillId="4" borderId="1" xfId="0" applyNumberFormat="1" applyFont="1" applyFill="1" applyBorder="1" applyAlignment="1" applyProtection="1">
      <alignment horizontal="center"/>
    </xf>
    <xf numFmtId="0" fontId="29" fillId="0" borderId="0" xfId="0" applyFont="1" applyAlignment="1"/>
    <xf numFmtId="0" fontId="0" fillId="0" borderId="0" xfId="0" applyFill="1"/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4" fontId="20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1" fillId="0" borderId="1" xfId="0" applyFont="1" applyBorder="1" applyAlignment="1">
      <alignment horizontal="center"/>
    </xf>
    <xf numFmtId="9" fontId="0" fillId="0" borderId="0" xfId="0" applyNumberFormat="1" applyAlignment="1">
      <alignment horizontal="center"/>
    </xf>
    <xf numFmtId="0" fontId="30" fillId="6" borderId="0" xfId="0" applyFont="1" applyFill="1" applyAlignment="1"/>
    <xf numFmtId="0" fontId="30" fillId="6" borderId="0" xfId="0" applyFont="1" applyFill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13" borderId="1" xfId="0" applyFill="1" applyBorder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/>
    </xf>
    <xf numFmtId="0" fontId="19" fillId="12" borderId="3" xfId="0" applyFont="1" applyFill="1" applyBorder="1" applyAlignment="1">
      <alignment horizontal="center"/>
    </xf>
    <xf numFmtId="0" fontId="19" fillId="12" borderId="4" xfId="0" applyFont="1" applyFill="1" applyBorder="1" applyAlignment="1">
      <alignment horizontal="center"/>
    </xf>
    <xf numFmtId="0" fontId="19" fillId="12" borderId="14" xfId="0" applyFont="1" applyFill="1" applyBorder="1" applyAlignment="1">
      <alignment horizontal="center"/>
    </xf>
    <xf numFmtId="14" fontId="20" fillId="12" borderId="12" xfId="0" applyNumberFormat="1" applyFont="1" applyFill="1" applyBorder="1" applyAlignment="1">
      <alignment horizontal="center"/>
    </xf>
    <xf numFmtId="0" fontId="20" fillId="12" borderId="13" xfId="0" applyFont="1" applyFill="1" applyBorder="1" applyAlignment="1">
      <alignment horizontal="center"/>
    </xf>
    <xf numFmtId="0" fontId="20" fillId="12" borderId="5" xfId="0" applyFont="1" applyFill="1" applyBorder="1" applyAlignment="1">
      <alignment horizontal="center"/>
    </xf>
    <xf numFmtId="0" fontId="20" fillId="11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12" borderId="3" xfId="0" applyFont="1" applyFill="1" applyBorder="1" applyAlignment="1">
      <alignment horizontal="center"/>
    </xf>
    <xf numFmtId="0" fontId="20" fillId="12" borderId="4" xfId="0" applyFont="1" applyFill="1" applyBorder="1" applyAlignment="1">
      <alignment horizontal="center"/>
    </xf>
    <xf numFmtId="0" fontId="20" fillId="12" borderId="14" xfId="0" applyFont="1" applyFill="1" applyBorder="1" applyAlignment="1">
      <alignment horizontal="center"/>
    </xf>
    <xf numFmtId="0" fontId="21" fillId="11" borderId="9" xfId="0" applyFont="1" applyFill="1" applyBorder="1" applyAlignment="1">
      <alignment horizontal="center"/>
    </xf>
    <xf numFmtId="0" fontId="21" fillId="11" borderId="13" xfId="0" applyFont="1" applyFill="1" applyBorder="1" applyAlignment="1">
      <alignment horizontal="center"/>
    </xf>
    <xf numFmtId="0" fontId="21" fillId="11" borderId="5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20" fillId="12" borderId="9" xfId="0" applyNumberFormat="1" applyFont="1" applyFill="1" applyBorder="1" applyAlignment="1">
      <alignment horizontal="center"/>
    </xf>
    <xf numFmtId="14" fontId="20" fillId="12" borderId="10" xfId="0" applyNumberFormat="1" applyFont="1" applyFill="1" applyBorder="1" applyAlignment="1">
      <alignment horizontal="center"/>
    </xf>
    <xf numFmtId="14" fontId="20" fillId="12" borderId="11" xfId="0" applyNumberFormat="1" applyFont="1" applyFill="1" applyBorder="1" applyAlignment="1">
      <alignment horizontal="center"/>
    </xf>
    <xf numFmtId="0" fontId="21" fillId="5" borderId="12" xfId="0" applyFont="1" applyFill="1" applyBorder="1" applyAlignment="1">
      <alignment horizontal="center"/>
    </xf>
    <xf numFmtId="0" fontId="21" fillId="5" borderId="13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/>
    </xf>
    <xf numFmtId="0" fontId="21" fillId="11" borderId="3" xfId="0" applyFont="1" applyFill="1" applyBorder="1" applyAlignment="1">
      <alignment horizontal="center"/>
    </xf>
    <xf numFmtId="0" fontId="21" fillId="11" borderId="4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5" fillId="10" borderId="6" xfId="0" applyFont="1" applyFill="1" applyBorder="1" applyAlignment="1">
      <alignment horizontal="center"/>
    </xf>
    <xf numFmtId="0" fontId="25" fillId="10" borderId="8" xfId="0" applyFont="1" applyFill="1" applyBorder="1" applyAlignment="1">
      <alignment horizontal="center"/>
    </xf>
    <xf numFmtId="0" fontId="23" fillId="9" borderId="6" xfId="0" applyFont="1" applyFill="1" applyBorder="1" applyAlignment="1">
      <alignment horizontal="center"/>
    </xf>
    <xf numFmtId="0" fontId="23" fillId="9" borderId="8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11" borderId="15" xfId="0" applyFont="1" applyFill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8" borderId="0" xfId="0" applyFont="1" applyFill="1" applyAlignment="1">
      <alignment horizontal="center"/>
    </xf>
    <xf numFmtId="0" fontId="23" fillId="8" borderId="16" xfId="0" applyFont="1" applyFill="1" applyBorder="1" applyAlignment="1">
      <alignment horizontal="center"/>
    </xf>
    <xf numFmtId="0" fontId="23" fillId="10" borderId="0" xfId="0" applyFont="1" applyFill="1" applyAlignment="1">
      <alignment horizontal="center"/>
    </xf>
    <xf numFmtId="0" fontId="23" fillId="10" borderId="16" xfId="0" applyFont="1" applyFill="1" applyBorder="1" applyAlignment="1">
      <alignment horizontal="center"/>
    </xf>
    <xf numFmtId="0" fontId="25" fillId="9" borderId="6" xfId="0" applyFont="1" applyFill="1" applyBorder="1" applyAlignment="1">
      <alignment horizontal="center"/>
    </xf>
    <xf numFmtId="0" fontId="25" fillId="9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30" fillId="11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805924581174109"/>
          <c:y val="2.9583499371995541E-2"/>
          <c:w val="0.85177507379191164"/>
          <c:h val="0.84852321026633681"/>
        </c:manualLayout>
      </c:layout>
      <c:scatterChart>
        <c:scatterStyle val="lineMarker"/>
        <c:ser>
          <c:idx val="0"/>
          <c:order val="0"/>
          <c:tx>
            <c:strRef>
              <c:f>'TCO Worksheet'!$Q$8</c:f>
              <c:strCache>
                <c:ptCount val="1"/>
                <c:pt idx="0">
                  <c:v>Minimum</c:v>
                </c:pt>
              </c:strCache>
            </c:strRef>
          </c:tx>
          <c:spPr>
            <a:ln w="508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xVal>
            <c:numRef>
              <c:f>'TCO Worksheet'!$P$9:$P$134</c:f>
              <c:numCache>
                <c:formatCode>General</c:formatCode>
                <c:ptCount val="12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  <c:pt idx="76">
                  <c:v>101</c:v>
                </c:pt>
                <c:pt idx="77">
                  <c:v>102</c:v>
                </c:pt>
                <c:pt idx="78">
                  <c:v>103</c:v>
                </c:pt>
                <c:pt idx="79">
                  <c:v>104</c:v>
                </c:pt>
                <c:pt idx="80">
                  <c:v>105</c:v>
                </c:pt>
                <c:pt idx="81">
                  <c:v>106</c:v>
                </c:pt>
                <c:pt idx="82">
                  <c:v>107</c:v>
                </c:pt>
                <c:pt idx="83">
                  <c:v>108</c:v>
                </c:pt>
                <c:pt idx="84">
                  <c:v>109</c:v>
                </c:pt>
                <c:pt idx="85">
                  <c:v>110</c:v>
                </c:pt>
                <c:pt idx="86">
                  <c:v>111</c:v>
                </c:pt>
                <c:pt idx="87">
                  <c:v>112</c:v>
                </c:pt>
                <c:pt idx="88">
                  <c:v>113</c:v>
                </c:pt>
                <c:pt idx="89">
                  <c:v>114</c:v>
                </c:pt>
                <c:pt idx="90">
                  <c:v>115</c:v>
                </c:pt>
                <c:pt idx="91">
                  <c:v>116</c:v>
                </c:pt>
                <c:pt idx="92">
                  <c:v>117</c:v>
                </c:pt>
                <c:pt idx="93">
                  <c:v>118</c:v>
                </c:pt>
                <c:pt idx="94">
                  <c:v>119</c:v>
                </c:pt>
                <c:pt idx="95">
                  <c:v>120</c:v>
                </c:pt>
                <c:pt idx="96">
                  <c:v>121</c:v>
                </c:pt>
                <c:pt idx="97">
                  <c:v>122</c:v>
                </c:pt>
                <c:pt idx="98">
                  <c:v>123</c:v>
                </c:pt>
                <c:pt idx="99">
                  <c:v>124</c:v>
                </c:pt>
                <c:pt idx="100">
                  <c:v>125</c:v>
                </c:pt>
                <c:pt idx="101">
                  <c:v>126</c:v>
                </c:pt>
                <c:pt idx="102">
                  <c:v>127</c:v>
                </c:pt>
                <c:pt idx="103">
                  <c:v>128</c:v>
                </c:pt>
                <c:pt idx="104">
                  <c:v>129</c:v>
                </c:pt>
                <c:pt idx="105">
                  <c:v>130</c:v>
                </c:pt>
                <c:pt idx="106">
                  <c:v>131</c:v>
                </c:pt>
                <c:pt idx="107">
                  <c:v>132</c:v>
                </c:pt>
                <c:pt idx="108">
                  <c:v>133</c:v>
                </c:pt>
                <c:pt idx="109">
                  <c:v>134</c:v>
                </c:pt>
                <c:pt idx="110">
                  <c:v>135</c:v>
                </c:pt>
                <c:pt idx="111">
                  <c:v>136</c:v>
                </c:pt>
                <c:pt idx="112">
                  <c:v>137</c:v>
                </c:pt>
                <c:pt idx="113">
                  <c:v>138</c:v>
                </c:pt>
                <c:pt idx="114">
                  <c:v>139</c:v>
                </c:pt>
                <c:pt idx="115">
                  <c:v>140</c:v>
                </c:pt>
                <c:pt idx="116">
                  <c:v>141</c:v>
                </c:pt>
                <c:pt idx="117">
                  <c:v>142</c:v>
                </c:pt>
                <c:pt idx="118">
                  <c:v>143</c:v>
                </c:pt>
                <c:pt idx="119">
                  <c:v>144</c:v>
                </c:pt>
                <c:pt idx="120">
                  <c:v>145</c:v>
                </c:pt>
                <c:pt idx="121">
                  <c:v>146</c:v>
                </c:pt>
                <c:pt idx="122">
                  <c:v>147</c:v>
                </c:pt>
                <c:pt idx="123">
                  <c:v>148</c:v>
                </c:pt>
                <c:pt idx="124">
                  <c:v>149</c:v>
                </c:pt>
                <c:pt idx="125">
                  <c:v>150</c:v>
                </c:pt>
              </c:numCache>
            </c:numRef>
          </c:xVal>
          <c:yVal>
            <c:numRef>
              <c:f>'TCO Worksheet'!$Q$9:$Q$134</c:f>
              <c:numCache>
                <c:formatCode>General</c:formatCode>
                <c:ptCount val="1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0.96753461439999988</c:v>
                </c:pt>
                <c:pt idx="74">
                  <c:v>0.93416393920000007</c:v>
                </c:pt>
                <c:pt idx="75">
                  <c:v>0.90079326400000004</c:v>
                </c:pt>
                <c:pt idx="76">
                  <c:v>0.87211158880000017</c:v>
                </c:pt>
                <c:pt idx="77">
                  <c:v>0.84342991360000008</c:v>
                </c:pt>
                <c:pt idx="78">
                  <c:v>0.81474823839999999</c:v>
                </c:pt>
                <c:pt idx="79">
                  <c:v>0.78606656320000012</c:v>
                </c:pt>
                <c:pt idx="80">
                  <c:v>0.75738488800000003</c:v>
                </c:pt>
                <c:pt idx="81">
                  <c:v>0.73281177712000001</c:v>
                </c:pt>
                <c:pt idx="82">
                  <c:v>0.70823866623999998</c:v>
                </c:pt>
                <c:pt idx="83">
                  <c:v>0.68366555536000018</c:v>
                </c:pt>
                <c:pt idx="84">
                  <c:v>0.65909244447999993</c:v>
                </c:pt>
                <c:pt idx="85">
                  <c:v>0.63451933360000012</c:v>
                </c:pt>
                <c:pt idx="86">
                  <c:v>0.61298019327999986</c:v>
                </c:pt>
                <c:pt idx="87">
                  <c:v>0.59144105296000005</c:v>
                </c:pt>
                <c:pt idx="88">
                  <c:v>0.56990191264000001</c:v>
                </c:pt>
                <c:pt idx="89">
                  <c:v>0.54836277232000019</c:v>
                </c:pt>
                <c:pt idx="90">
                  <c:v>0.52682363199999993</c:v>
                </c:pt>
                <c:pt idx="91">
                  <c:v>0.50827269760000005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  <c:pt idx="97">
                  <c:v>0.5</c:v>
                </c:pt>
                <c:pt idx="98">
                  <c:v>0.5</c:v>
                </c:pt>
                <c:pt idx="99">
                  <c:v>0.5</c:v>
                </c:pt>
                <c:pt idx="100">
                  <c:v>0.5</c:v>
                </c:pt>
                <c:pt idx="101">
                  <c:v>0.5</c:v>
                </c:pt>
                <c:pt idx="102">
                  <c:v>0.5</c:v>
                </c:pt>
                <c:pt idx="103">
                  <c:v>0.5</c:v>
                </c:pt>
                <c:pt idx="104">
                  <c:v>0.5</c:v>
                </c:pt>
                <c:pt idx="105">
                  <c:v>0.5</c:v>
                </c:pt>
                <c:pt idx="106">
                  <c:v>0.5</c:v>
                </c:pt>
                <c:pt idx="107">
                  <c:v>0.5</c:v>
                </c:pt>
                <c:pt idx="108">
                  <c:v>0.5</c:v>
                </c:pt>
                <c:pt idx="109">
                  <c:v>0.5</c:v>
                </c:pt>
                <c:pt idx="110">
                  <c:v>0.5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yVal>
        </c:ser>
        <c:ser>
          <c:idx val="1"/>
          <c:order val="1"/>
          <c:tx>
            <c:strRef>
              <c:f>'TCO Worksheet'!$R$8</c:f>
              <c:strCache>
                <c:ptCount val="1"/>
                <c:pt idx="0">
                  <c:v>Nominal</c:v>
                </c:pt>
              </c:strCache>
            </c:strRef>
          </c:tx>
          <c:spPr>
            <a:ln w="50800"/>
          </c:spPr>
          <c:marker>
            <c:symbol val="none"/>
          </c:marker>
          <c:xVal>
            <c:numRef>
              <c:f>'TCO Worksheet'!$P$9:$P$134</c:f>
              <c:numCache>
                <c:formatCode>General</c:formatCode>
                <c:ptCount val="12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  <c:pt idx="76">
                  <c:v>101</c:v>
                </c:pt>
                <c:pt idx="77">
                  <c:v>102</c:v>
                </c:pt>
                <c:pt idx="78">
                  <c:v>103</c:v>
                </c:pt>
                <c:pt idx="79">
                  <c:v>104</c:v>
                </c:pt>
                <c:pt idx="80">
                  <c:v>105</c:v>
                </c:pt>
                <c:pt idx="81">
                  <c:v>106</c:v>
                </c:pt>
                <c:pt idx="82">
                  <c:v>107</c:v>
                </c:pt>
                <c:pt idx="83">
                  <c:v>108</c:v>
                </c:pt>
                <c:pt idx="84">
                  <c:v>109</c:v>
                </c:pt>
                <c:pt idx="85">
                  <c:v>110</c:v>
                </c:pt>
                <c:pt idx="86">
                  <c:v>111</c:v>
                </c:pt>
                <c:pt idx="87">
                  <c:v>112</c:v>
                </c:pt>
                <c:pt idx="88">
                  <c:v>113</c:v>
                </c:pt>
                <c:pt idx="89">
                  <c:v>114</c:v>
                </c:pt>
                <c:pt idx="90">
                  <c:v>115</c:v>
                </c:pt>
                <c:pt idx="91">
                  <c:v>116</c:v>
                </c:pt>
                <c:pt idx="92">
                  <c:v>117</c:v>
                </c:pt>
                <c:pt idx="93">
                  <c:v>118</c:v>
                </c:pt>
                <c:pt idx="94">
                  <c:v>119</c:v>
                </c:pt>
                <c:pt idx="95">
                  <c:v>120</c:v>
                </c:pt>
                <c:pt idx="96">
                  <c:v>121</c:v>
                </c:pt>
                <c:pt idx="97">
                  <c:v>122</c:v>
                </c:pt>
                <c:pt idx="98">
                  <c:v>123</c:v>
                </c:pt>
                <c:pt idx="99">
                  <c:v>124</c:v>
                </c:pt>
                <c:pt idx="100">
                  <c:v>125</c:v>
                </c:pt>
                <c:pt idx="101">
                  <c:v>126</c:v>
                </c:pt>
                <c:pt idx="102">
                  <c:v>127</c:v>
                </c:pt>
                <c:pt idx="103">
                  <c:v>128</c:v>
                </c:pt>
                <c:pt idx="104">
                  <c:v>129</c:v>
                </c:pt>
                <c:pt idx="105">
                  <c:v>130</c:v>
                </c:pt>
                <c:pt idx="106">
                  <c:v>131</c:v>
                </c:pt>
                <c:pt idx="107">
                  <c:v>132</c:v>
                </c:pt>
                <c:pt idx="108">
                  <c:v>133</c:v>
                </c:pt>
                <c:pt idx="109">
                  <c:v>134</c:v>
                </c:pt>
                <c:pt idx="110">
                  <c:v>135</c:v>
                </c:pt>
                <c:pt idx="111">
                  <c:v>136</c:v>
                </c:pt>
                <c:pt idx="112">
                  <c:v>137</c:v>
                </c:pt>
                <c:pt idx="113">
                  <c:v>138</c:v>
                </c:pt>
                <c:pt idx="114">
                  <c:v>139</c:v>
                </c:pt>
                <c:pt idx="115">
                  <c:v>140</c:v>
                </c:pt>
                <c:pt idx="116">
                  <c:v>141</c:v>
                </c:pt>
                <c:pt idx="117">
                  <c:v>142</c:v>
                </c:pt>
                <c:pt idx="118">
                  <c:v>143</c:v>
                </c:pt>
                <c:pt idx="119">
                  <c:v>144</c:v>
                </c:pt>
                <c:pt idx="120">
                  <c:v>145</c:v>
                </c:pt>
                <c:pt idx="121">
                  <c:v>146</c:v>
                </c:pt>
                <c:pt idx="122">
                  <c:v>147</c:v>
                </c:pt>
                <c:pt idx="123">
                  <c:v>148</c:v>
                </c:pt>
                <c:pt idx="124">
                  <c:v>149</c:v>
                </c:pt>
                <c:pt idx="125">
                  <c:v>150</c:v>
                </c:pt>
              </c:numCache>
            </c:numRef>
          </c:xVal>
          <c:yVal>
            <c:numRef>
              <c:f>'TCO Worksheet'!$R$9:$R$134</c:f>
              <c:numCache>
                <c:formatCode>General</c:formatCode>
                <c:ptCount val="1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0.99228034300000023</c:v>
                </c:pt>
                <c:pt idx="76">
                  <c:v>0.96180606310000027</c:v>
                </c:pt>
                <c:pt idx="77">
                  <c:v>0.9313317832000001</c:v>
                </c:pt>
                <c:pt idx="78">
                  <c:v>0.90085750330000014</c:v>
                </c:pt>
                <c:pt idx="79">
                  <c:v>0.87038322340000018</c:v>
                </c:pt>
                <c:pt idx="80">
                  <c:v>0.83990894350000023</c:v>
                </c:pt>
                <c:pt idx="81">
                  <c:v>0.81380001319000006</c:v>
                </c:pt>
                <c:pt idx="82">
                  <c:v>0.78769108288000012</c:v>
                </c:pt>
                <c:pt idx="83">
                  <c:v>0.76158215257000039</c:v>
                </c:pt>
                <c:pt idx="84">
                  <c:v>0.73547322226000023</c:v>
                </c:pt>
                <c:pt idx="85">
                  <c:v>0.70936429195000006</c:v>
                </c:pt>
                <c:pt idx="86">
                  <c:v>0.68647895536000014</c:v>
                </c:pt>
                <c:pt idx="87">
                  <c:v>0.66359361877</c:v>
                </c:pt>
                <c:pt idx="88">
                  <c:v>0.64070828218000009</c:v>
                </c:pt>
                <c:pt idx="89">
                  <c:v>0.61782294559000017</c:v>
                </c:pt>
                <c:pt idx="90">
                  <c:v>0.59493760900000003</c:v>
                </c:pt>
                <c:pt idx="91">
                  <c:v>0.57522724120000013</c:v>
                </c:pt>
                <c:pt idx="92">
                  <c:v>0.5555168734</c:v>
                </c:pt>
                <c:pt idx="93">
                  <c:v>0.53580650560000009</c:v>
                </c:pt>
                <c:pt idx="94">
                  <c:v>0.51609613780000019</c:v>
                </c:pt>
                <c:pt idx="95">
                  <c:v>0.5</c:v>
                </c:pt>
                <c:pt idx="96">
                  <c:v>0.5</c:v>
                </c:pt>
                <c:pt idx="97">
                  <c:v>0.5</c:v>
                </c:pt>
                <c:pt idx="98">
                  <c:v>0.5</c:v>
                </c:pt>
                <c:pt idx="99">
                  <c:v>0.5</c:v>
                </c:pt>
                <c:pt idx="100">
                  <c:v>0.5</c:v>
                </c:pt>
                <c:pt idx="101">
                  <c:v>0.5</c:v>
                </c:pt>
                <c:pt idx="102">
                  <c:v>0.5</c:v>
                </c:pt>
                <c:pt idx="103">
                  <c:v>0.5</c:v>
                </c:pt>
                <c:pt idx="104">
                  <c:v>0.5</c:v>
                </c:pt>
                <c:pt idx="105">
                  <c:v>0.5</c:v>
                </c:pt>
                <c:pt idx="106">
                  <c:v>0.5</c:v>
                </c:pt>
                <c:pt idx="107">
                  <c:v>0.5</c:v>
                </c:pt>
                <c:pt idx="108">
                  <c:v>0.5</c:v>
                </c:pt>
                <c:pt idx="109">
                  <c:v>0.5</c:v>
                </c:pt>
                <c:pt idx="110">
                  <c:v>0.5</c:v>
                </c:pt>
                <c:pt idx="111">
                  <c:v>0.5</c:v>
                </c:pt>
                <c:pt idx="112">
                  <c:v>0.5</c:v>
                </c:pt>
                <c:pt idx="113">
                  <c:v>0.5</c:v>
                </c:pt>
                <c:pt idx="114">
                  <c:v>0.5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yVal>
        </c:ser>
        <c:ser>
          <c:idx val="2"/>
          <c:order val="2"/>
          <c:tx>
            <c:strRef>
              <c:f>'TCO Worksheet'!$S$8</c:f>
              <c:strCache>
                <c:ptCount val="1"/>
                <c:pt idx="0">
                  <c:v>Maximum</c:v>
                </c:pt>
              </c:strCache>
            </c:strRef>
          </c:tx>
          <c:spPr>
            <a:ln w="50800">
              <a:prstDash val="dashDot"/>
            </a:ln>
          </c:spPr>
          <c:marker>
            <c:symbol val="none"/>
          </c:marker>
          <c:xVal>
            <c:numRef>
              <c:f>'TCO Worksheet'!$P$9:$P$134</c:f>
              <c:numCache>
                <c:formatCode>General</c:formatCode>
                <c:ptCount val="12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  <c:pt idx="76">
                  <c:v>101</c:v>
                </c:pt>
                <c:pt idx="77">
                  <c:v>102</c:v>
                </c:pt>
                <c:pt idx="78">
                  <c:v>103</c:v>
                </c:pt>
                <c:pt idx="79">
                  <c:v>104</c:v>
                </c:pt>
                <c:pt idx="80">
                  <c:v>105</c:v>
                </c:pt>
                <c:pt idx="81">
                  <c:v>106</c:v>
                </c:pt>
                <c:pt idx="82">
                  <c:v>107</c:v>
                </c:pt>
                <c:pt idx="83">
                  <c:v>108</c:v>
                </c:pt>
                <c:pt idx="84">
                  <c:v>109</c:v>
                </c:pt>
                <c:pt idx="85">
                  <c:v>110</c:v>
                </c:pt>
                <c:pt idx="86">
                  <c:v>111</c:v>
                </c:pt>
                <c:pt idx="87">
                  <c:v>112</c:v>
                </c:pt>
                <c:pt idx="88">
                  <c:v>113</c:v>
                </c:pt>
                <c:pt idx="89">
                  <c:v>114</c:v>
                </c:pt>
                <c:pt idx="90">
                  <c:v>115</c:v>
                </c:pt>
                <c:pt idx="91">
                  <c:v>116</c:v>
                </c:pt>
                <c:pt idx="92">
                  <c:v>117</c:v>
                </c:pt>
                <c:pt idx="93">
                  <c:v>118</c:v>
                </c:pt>
                <c:pt idx="94">
                  <c:v>119</c:v>
                </c:pt>
                <c:pt idx="95">
                  <c:v>120</c:v>
                </c:pt>
                <c:pt idx="96">
                  <c:v>121</c:v>
                </c:pt>
                <c:pt idx="97">
                  <c:v>122</c:v>
                </c:pt>
                <c:pt idx="98">
                  <c:v>123</c:v>
                </c:pt>
                <c:pt idx="99">
                  <c:v>124</c:v>
                </c:pt>
                <c:pt idx="100">
                  <c:v>125</c:v>
                </c:pt>
                <c:pt idx="101">
                  <c:v>126</c:v>
                </c:pt>
                <c:pt idx="102">
                  <c:v>127</c:v>
                </c:pt>
                <c:pt idx="103">
                  <c:v>128</c:v>
                </c:pt>
                <c:pt idx="104">
                  <c:v>129</c:v>
                </c:pt>
                <c:pt idx="105">
                  <c:v>130</c:v>
                </c:pt>
                <c:pt idx="106">
                  <c:v>131</c:v>
                </c:pt>
                <c:pt idx="107">
                  <c:v>132</c:v>
                </c:pt>
                <c:pt idx="108">
                  <c:v>133</c:v>
                </c:pt>
                <c:pt idx="109">
                  <c:v>134</c:v>
                </c:pt>
                <c:pt idx="110">
                  <c:v>135</c:v>
                </c:pt>
                <c:pt idx="111">
                  <c:v>136</c:v>
                </c:pt>
                <c:pt idx="112">
                  <c:v>137</c:v>
                </c:pt>
                <c:pt idx="113">
                  <c:v>138</c:v>
                </c:pt>
                <c:pt idx="114">
                  <c:v>139</c:v>
                </c:pt>
                <c:pt idx="115">
                  <c:v>140</c:v>
                </c:pt>
                <c:pt idx="116">
                  <c:v>141</c:v>
                </c:pt>
                <c:pt idx="117">
                  <c:v>142</c:v>
                </c:pt>
                <c:pt idx="118">
                  <c:v>143</c:v>
                </c:pt>
                <c:pt idx="119">
                  <c:v>144</c:v>
                </c:pt>
                <c:pt idx="120">
                  <c:v>145</c:v>
                </c:pt>
                <c:pt idx="121">
                  <c:v>146</c:v>
                </c:pt>
                <c:pt idx="122">
                  <c:v>147</c:v>
                </c:pt>
                <c:pt idx="123">
                  <c:v>148</c:v>
                </c:pt>
                <c:pt idx="124">
                  <c:v>149</c:v>
                </c:pt>
                <c:pt idx="125">
                  <c:v>150</c:v>
                </c:pt>
              </c:numCache>
            </c:numRef>
          </c:xVal>
          <c:yVal>
            <c:numRef>
              <c:f>'TCO Worksheet'!$S$9:$S$134</c:f>
              <c:numCache>
                <c:formatCode>General</c:formatCode>
                <c:ptCount val="1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0.98696676820000007</c:v>
                </c:pt>
                <c:pt idx="79">
                  <c:v>0.95469988360000002</c:v>
                </c:pt>
                <c:pt idx="80">
                  <c:v>0.92243299899999998</c:v>
                </c:pt>
                <c:pt idx="81">
                  <c:v>0.89478824925999989</c:v>
                </c:pt>
                <c:pt idx="82">
                  <c:v>0.86714349952000003</c:v>
                </c:pt>
                <c:pt idx="83">
                  <c:v>0.83949874978000016</c:v>
                </c:pt>
                <c:pt idx="84">
                  <c:v>0.81185400003999986</c:v>
                </c:pt>
                <c:pt idx="85">
                  <c:v>0.78420925029999999</c:v>
                </c:pt>
                <c:pt idx="86">
                  <c:v>0.75997771743999976</c:v>
                </c:pt>
                <c:pt idx="87">
                  <c:v>0.73574618457999996</c:v>
                </c:pt>
                <c:pt idx="88">
                  <c:v>0.71151465172000017</c:v>
                </c:pt>
                <c:pt idx="89">
                  <c:v>0.68728311886000015</c:v>
                </c:pt>
                <c:pt idx="90">
                  <c:v>0.66305158599999992</c:v>
                </c:pt>
                <c:pt idx="91">
                  <c:v>0.64218178479999977</c:v>
                </c:pt>
                <c:pt idx="92">
                  <c:v>0.62131198359999984</c:v>
                </c:pt>
                <c:pt idx="93">
                  <c:v>0.60044218240000014</c:v>
                </c:pt>
                <c:pt idx="94">
                  <c:v>0.57957238119999999</c:v>
                </c:pt>
                <c:pt idx="95">
                  <c:v>0.55870258000000006</c:v>
                </c:pt>
                <c:pt idx="96">
                  <c:v>0.54054208299999984</c:v>
                </c:pt>
                <c:pt idx="97">
                  <c:v>0.52238158600000006</c:v>
                </c:pt>
                <c:pt idx="98">
                  <c:v>0.50422108900000007</c:v>
                </c:pt>
                <c:pt idx="99">
                  <c:v>0.5</c:v>
                </c:pt>
                <c:pt idx="100">
                  <c:v>0.5</c:v>
                </c:pt>
                <c:pt idx="101">
                  <c:v>0.5</c:v>
                </c:pt>
                <c:pt idx="102">
                  <c:v>0.5</c:v>
                </c:pt>
                <c:pt idx="103">
                  <c:v>0.5</c:v>
                </c:pt>
                <c:pt idx="104">
                  <c:v>0.5</c:v>
                </c:pt>
                <c:pt idx="105">
                  <c:v>0.5</c:v>
                </c:pt>
                <c:pt idx="106">
                  <c:v>0.5</c:v>
                </c:pt>
                <c:pt idx="107">
                  <c:v>0.5</c:v>
                </c:pt>
                <c:pt idx="108">
                  <c:v>0.5</c:v>
                </c:pt>
                <c:pt idx="109">
                  <c:v>0.5</c:v>
                </c:pt>
                <c:pt idx="110">
                  <c:v>0.5</c:v>
                </c:pt>
                <c:pt idx="111">
                  <c:v>0.5</c:v>
                </c:pt>
                <c:pt idx="112">
                  <c:v>0.5</c:v>
                </c:pt>
                <c:pt idx="113">
                  <c:v>0.5</c:v>
                </c:pt>
                <c:pt idx="114">
                  <c:v>0.5</c:v>
                </c:pt>
                <c:pt idx="115">
                  <c:v>0.5</c:v>
                </c:pt>
                <c:pt idx="116">
                  <c:v>0.5</c:v>
                </c:pt>
                <c:pt idx="117">
                  <c:v>0.5</c:v>
                </c:pt>
                <c:pt idx="118">
                  <c:v>0.5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yVal>
        </c:ser>
        <c:axId val="142108160"/>
        <c:axId val="142114816"/>
      </c:scatterChart>
      <c:valAx>
        <c:axId val="142108160"/>
        <c:scaling>
          <c:orientation val="minMax"/>
          <c:max val="150"/>
          <c:min val="25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TCO Temperature</a:t>
                </a:r>
              </a:p>
            </c:rich>
          </c:tx>
          <c:layout/>
        </c:title>
        <c:numFmt formatCode="General" sourceLinked="1"/>
        <c:tickLblPos val="nextTo"/>
        <c:crossAx val="142114816"/>
        <c:crosses val="autoZero"/>
        <c:crossBetween val="midCat"/>
        <c:majorUnit val="25"/>
      </c:valAx>
      <c:valAx>
        <c:axId val="142114816"/>
        <c:scaling>
          <c:orientation val="minMax"/>
          <c:max val="1.1000000000000001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of Output</a:t>
                </a:r>
              </a:p>
            </c:rich>
          </c:tx>
          <c:layout/>
        </c:title>
        <c:numFmt formatCode="0%" sourceLinked="0"/>
        <c:tickLblPos val="nextTo"/>
        <c:crossAx val="142108160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23192201425946871"/>
          <c:y val="0.20625516002136873"/>
          <c:w val="0.28324553737609454"/>
          <c:h val="0.31812228968702894"/>
        </c:manualLayout>
      </c:layout>
    </c:legend>
    <c:plotVisOnly val="1"/>
  </c:chart>
  <c:spPr>
    <a:ln>
      <a:noFill/>
    </a:ln>
  </c:spPr>
  <c:txPr>
    <a:bodyPr/>
    <a:lstStyle/>
    <a:p>
      <a:pPr>
        <a:defRPr sz="1400" b="1" i="0" baseline="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116416</xdr:colOff>
      <xdr:row>6</xdr:row>
      <xdr:rowOff>21166</xdr:rowOff>
    </xdr:from>
    <xdr:to>
      <xdr:col>13</xdr:col>
      <xdr:colOff>613833</xdr:colOff>
      <xdr:row>31</xdr:row>
      <xdr:rowOff>84665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2"/>
  <sheetViews>
    <sheetView showGridLines="0" tabSelected="1" zoomScale="80" zoomScaleNormal="80" workbookViewId="0">
      <selection activeCell="X12" sqref="X12"/>
    </sheetView>
  </sheetViews>
  <sheetFormatPr defaultRowHeight="15"/>
  <cols>
    <col min="1" max="1" width="9.7109375" customWidth="1"/>
    <col min="4" max="4" width="10.85546875" customWidth="1"/>
    <col min="5" max="5" width="17.7109375" style="1" customWidth="1"/>
    <col min="6" max="6" width="22.5703125" customWidth="1"/>
    <col min="7" max="7" width="9.7109375" customWidth="1"/>
    <col min="14" max="14" width="10" bestFit="1" customWidth="1"/>
    <col min="15" max="15" width="15.5703125" customWidth="1"/>
    <col min="16" max="17" width="9.85546875" customWidth="1"/>
    <col min="18" max="18" width="9" customWidth="1"/>
    <col min="19" max="19" width="9.42578125" hidden="1" customWidth="1"/>
    <col min="20" max="20" width="11.28515625" hidden="1" customWidth="1"/>
    <col min="21" max="21" width="10.7109375" hidden="1" customWidth="1"/>
    <col min="22" max="22" width="10.42578125" hidden="1" customWidth="1"/>
  </cols>
  <sheetData>
    <row r="1" spans="1:22">
      <c r="A1" s="32"/>
      <c r="B1" s="32"/>
      <c r="C1" s="32"/>
      <c r="D1" s="32"/>
      <c r="E1" s="33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76"/>
      <c r="R1" s="76"/>
    </row>
    <row r="2" spans="1:22" ht="15" customHeight="1" thickBot="1">
      <c r="A2" s="32"/>
      <c r="B2" s="32"/>
      <c r="C2" s="32"/>
      <c r="D2" s="32"/>
      <c r="E2" s="33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76"/>
      <c r="R2" s="76"/>
    </row>
    <row r="3" spans="1:22" ht="27" thickBot="1">
      <c r="A3" s="32"/>
      <c r="B3" s="92" t="s">
        <v>0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  <c r="P3" s="36"/>
      <c r="Q3" s="77"/>
      <c r="R3" s="77"/>
      <c r="T3" t="s">
        <v>10</v>
      </c>
      <c r="U3">
        <v>50</v>
      </c>
      <c r="V3" t="s">
        <v>16</v>
      </c>
    </row>
    <row r="4" spans="1:22" ht="21.75" thickBot="1">
      <c r="A4" s="32"/>
      <c r="B4" s="101" t="s">
        <v>166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3"/>
      <c r="P4" s="37"/>
      <c r="Q4" s="78"/>
      <c r="R4" s="78"/>
      <c r="U4">
        <v>60</v>
      </c>
      <c r="V4" t="s">
        <v>17</v>
      </c>
    </row>
    <row r="5" spans="1:22" ht="21">
      <c r="A5" s="32"/>
      <c r="B5" s="95">
        <v>41326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  <c r="P5" s="37"/>
      <c r="Q5" s="78"/>
      <c r="R5" s="78"/>
      <c r="T5" t="s">
        <v>11</v>
      </c>
      <c r="V5" t="s">
        <v>136</v>
      </c>
    </row>
    <row r="6" spans="1:22" ht="21">
      <c r="A6" s="32"/>
      <c r="B6" s="98" t="s">
        <v>96</v>
      </c>
      <c r="C6" s="98"/>
      <c r="D6" s="98"/>
      <c r="E6" s="99" t="s">
        <v>20</v>
      </c>
      <c r="F6" s="99"/>
      <c r="G6" s="110" t="s">
        <v>94</v>
      </c>
      <c r="H6" s="110"/>
      <c r="I6" s="110"/>
      <c r="J6" s="110"/>
      <c r="K6" s="110"/>
      <c r="L6" s="100" t="s">
        <v>95</v>
      </c>
      <c r="M6" s="100"/>
      <c r="N6" s="100"/>
      <c r="O6" s="100"/>
      <c r="P6" s="37"/>
      <c r="Q6" s="78"/>
      <c r="R6" s="78"/>
      <c r="T6" t="s">
        <v>12</v>
      </c>
      <c r="V6" s="67"/>
    </row>
    <row r="7" spans="1:22" ht="21.75" thickBot="1">
      <c r="A7" s="32"/>
      <c r="B7" s="114" t="s">
        <v>93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6"/>
      <c r="P7" s="38"/>
      <c r="Q7" s="79"/>
      <c r="R7" s="79"/>
    </row>
    <row r="8" spans="1:22" ht="15.75" thickBot="1">
      <c r="A8" s="32"/>
      <c r="B8" s="35"/>
      <c r="C8" s="32"/>
      <c r="D8" s="32"/>
      <c r="E8" s="33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76"/>
      <c r="R8" s="76"/>
    </row>
    <row r="9" spans="1:22" ht="23.25">
      <c r="A9" s="32"/>
      <c r="B9" s="104" t="s">
        <v>1</v>
      </c>
      <c r="C9" s="105"/>
      <c r="D9" s="105"/>
      <c r="E9" s="105"/>
      <c r="F9" s="106"/>
      <c r="G9" s="32"/>
      <c r="H9" s="117" t="s">
        <v>20</v>
      </c>
      <c r="I9" s="118"/>
      <c r="J9" s="118"/>
      <c r="K9" s="118"/>
      <c r="L9" s="118"/>
      <c r="M9" s="118"/>
      <c r="N9" s="118"/>
      <c r="O9" s="119"/>
      <c r="P9" s="39"/>
      <c r="Q9" s="80"/>
      <c r="R9" s="80"/>
    </row>
    <row r="10" spans="1:22" ht="18.75">
      <c r="A10" s="32"/>
      <c r="B10" s="91" t="s">
        <v>2</v>
      </c>
      <c r="C10" s="91"/>
      <c r="D10" s="91"/>
      <c r="E10" s="58">
        <v>265</v>
      </c>
      <c r="F10" s="6" t="s">
        <v>4</v>
      </c>
      <c r="G10" s="32"/>
      <c r="H10" s="91" t="s">
        <v>21</v>
      </c>
      <c r="I10" s="91"/>
      <c r="J10" s="91"/>
      <c r="K10" s="91"/>
      <c r="L10" s="91"/>
      <c r="M10" s="6"/>
      <c r="N10" s="7">
        <f>1000*T16^2*(E16+0.7)*(1-N18)/(N11*T16*E25)</f>
        <v>292.57985372405193</v>
      </c>
      <c r="O10" s="6" t="s">
        <v>87</v>
      </c>
      <c r="P10" s="32"/>
      <c r="Q10" s="76"/>
      <c r="R10" s="76"/>
      <c r="S10">
        <f>N10*N11*N11</f>
        <v>583.4649007931605</v>
      </c>
    </row>
    <row r="11" spans="1:22" ht="18.75">
      <c r="A11" s="32"/>
      <c r="B11" s="91" t="s">
        <v>3</v>
      </c>
      <c r="C11" s="91"/>
      <c r="D11" s="91"/>
      <c r="E11" s="58">
        <v>200</v>
      </c>
      <c r="F11" s="6" t="s">
        <v>4</v>
      </c>
      <c r="G11" s="32"/>
      <c r="H11" s="91" t="s">
        <v>82</v>
      </c>
      <c r="I11" s="91"/>
      <c r="J11" s="91"/>
      <c r="K11" s="91"/>
      <c r="L11" s="91"/>
      <c r="M11" s="6"/>
      <c r="N11" s="8">
        <f>0.001*E17*2/(1-N17)/T16</f>
        <v>1.4121640735502121</v>
      </c>
      <c r="O11" s="6" t="s">
        <v>26</v>
      </c>
      <c r="P11" s="32"/>
      <c r="Q11" s="76"/>
      <c r="R11" s="76"/>
      <c r="T11" s="1"/>
    </row>
    <row r="12" spans="1:22" ht="18.75">
      <c r="A12" s="32"/>
      <c r="B12" s="91" t="s">
        <v>8</v>
      </c>
      <c r="C12" s="91"/>
      <c r="D12" s="91"/>
      <c r="E12" s="58">
        <v>60</v>
      </c>
      <c r="F12" s="6" t="s">
        <v>5</v>
      </c>
      <c r="G12" s="32"/>
      <c r="H12" s="107" t="s">
        <v>84</v>
      </c>
      <c r="I12" s="108"/>
      <c r="J12" s="108"/>
      <c r="K12" s="108"/>
      <c r="L12" s="109"/>
      <c r="M12" s="9"/>
      <c r="N12" s="8">
        <f>N11*T16*SQRT(1-N17)*0.577</f>
        <v>0.75111946280974395</v>
      </c>
      <c r="O12" s="6" t="s">
        <v>83</v>
      </c>
      <c r="P12" s="32"/>
      <c r="Q12" s="76"/>
      <c r="R12" s="76"/>
      <c r="T12" s="1"/>
    </row>
    <row r="13" spans="1:22" ht="18.75">
      <c r="A13" s="32"/>
      <c r="B13" s="32"/>
      <c r="C13" s="32"/>
      <c r="D13" s="32"/>
      <c r="E13" s="33"/>
      <c r="F13" s="32"/>
      <c r="G13" s="32"/>
      <c r="H13" s="91" t="s">
        <v>91</v>
      </c>
      <c r="I13" s="91"/>
      <c r="J13" s="91"/>
      <c r="K13" s="91"/>
      <c r="L13" s="91"/>
      <c r="M13" s="6"/>
      <c r="N13" s="8">
        <f>N21</f>
        <v>0.31583067976927387</v>
      </c>
      <c r="O13" s="6" t="s">
        <v>83</v>
      </c>
      <c r="P13" s="32"/>
      <c r="Q13" s="76"/>
      <c r="R13" s="76"/>
      <c r="T13" s="1"/>
    </row>
    <row r="14" spans="1:22" ht="23.25">
      <c r="A14" s="32"/>
      <c r="B14" s="120" t="s">
        <v>6</v>
      </c>
      <c r="C14" s="120"/>
      <c r="D14" s="120"/>
      <c r="E14" s="120"/>
      <c r="F14" s="120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76"/>
      <c r="R14" s="76"/>
      <c r="T14" s="1">
        <f>IF(E24="Valley Fill",2,1)</f>
        <v>1</v>
      </c>
    </row>
    <row r="15" spans="1:22" ht="18.75">
      <c r="A15" s="32"/>
      <c r="B15" s="91" t="s">
        <v>139</v>
      </c>
      <c r="C15" s="91"/>
      <c r="D15" s="91"/>
      <c r="E15" s="58">
        <v>30</v>
      </c>
      <c r="F15" s="12" t="s">
        <v>7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76"/>
      <c r="R15" s="76"/>
      <c r="T15" s="1"/>
    </row>
    <row r="16" spans="1:22" ht="18.75">
      <c r="A16" s="32"/>
      <c r="B16" s="91" t="s">
        <v>138</v>
      </c>
      <c r="C16" s="91"/>
      <c r="D16" s="91"/>
      <c r="E16" s="58">
        <v>35</v>
      </c>
      <c r="F16" s="12" t="s">
        <v>7</v>
      </c>
      <c r="G16" s="32"/>
      <c r="H16" s="91" t="s">
        <v>25</v>
      </c>
      <c r="I16" s="91"/>
      <c r="J16" s="91"/>
      <c r="K16" s="91"/>
      <c r="L16" s="91"/>
      <c r="M16" s="9"/>
      <c r="N16" s="7">
        <f>1000*(1-N17)/T18</f>
        <v>73.423439767779414</v>
      </c>
      <c r="O16" s="6" t="s">
        <v>19</v>
      </c>
      <c r="P16" s="32"/>
      <c r="Q16" s="76"/>
      <c r="R16" s="76"/>
      <c r="T16" s="1">
        <f>IF(E22="Flyback",E23,1)</f>
        <v>1</v>
      </c>
    </row>
    <row r="17" spans="1:20" ht="18.75">
      <c r="A17" s="32"/>
      <c r="B17" s="107" t="s">
        <v>145</v>
      </c>
      <c r="C17" s="108"/>
      <c r="D17" s="109"/>
      <c r="E17" s="58">
        <v>600</v>
      </c>
      <c r="F17" s="12" t="s">
        <v>14</v>
      </c>
      <c r="G17" s="32"/>
      <c r="H17" s="107" t="s">
        <v>22</v>
      </c>
      <c r="I17" s="108"/>
      <c r="J17" s="108"/>
      <c r="K17" s="108"/>
      <c r="L17" s="109"/>
      <c r="M17" s="6"/>
      <c r="N17" s="10">
        <f>T16*E16/((T17*0.7+(T16*E16)))</f>
        <v>0.15024038461538461</v>
      </c>
      <c r="O17" s="6"/>
      <c r="P17" s="32"/>
      <c r="Q17" s="76"/>
      <c r="R17" s="76"/>
      <c r="T17" s="1">
        <f>E11*1.414/T14</f>
        <v>282.8</v>
      </c>
    </row>
    <row r="18" spans="1:20" ht="18.75">
      <c r="A18" s="32"/>
      <c r="B18" s="107" t="s">
        <v>144</v>
      </c>
      <c r="C18" s="108"/>
      <c r="D18" s="109"/>
      <c r="E18" s="58">
        <v>1.6</v>
      </c>
      <c r="F18" s="40" t="s">
        <v>89</v>
      </c>
      <c r="G18" s="32"/>
      <c r="H18" s="107" t="s">
        <v>23</v>
      </c>
      <c r="I18" s="108"/>
      <c r="J18" s="108"/>
      <c r="K18" s="108"/>
      <c r="L18" s="109"/>
      <c r="M18" s="6"/>
      <c r="N18" s="10">
        <f>T16*E15/((E10*1.414)+(T16*E15))</f>
        <v>7.4127152776061869E-2</v>
      </c>
      <c r="O18" s="6" t="str">
        <f>IF(N18&lt;7%,"See Note 3","")</f>
        <v/>
      </c>
      <c r="P18" s="32"/>
      <c r="Q18" s="76"/>
      <c r="R18" s="76"/>
      <c r="T18" s="5">
        <f>(N10/T16^2)*N11*T16/(E16+0.7)</f>
        <v>11.573410590299224</v>
      </c>
    </row>
    <row r="19" spans="1:20" ht="18.75">
      <c r="A19" s="32"/>
      <c r="B19" s="91" t="s">
        <v>28</v>
      </c>
      <c r="C19" s="91"/>
      <c r="D19" s="91"/>
      <c r="E19" s="58">
        <v>100</v>
      </c>
      <c r="F19" s="12" t="s">
        <v>90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76"/>
      <c r="R19" s="76"/>
    </row>
    <row r="20" spans="1:20" ht="21.75" thickBot="1">
      <c r="A20" s="32"/>
      <c r="B20" s="32"/>
      <c r="C20" s="32"/>
      <c r="D20" s="32"/>
      <c r="E20" s="33"/>
      <c r="F20" s="32"/>
      <c r="G20" s="32"/>
      <c r="H20" s="107" t="s">
        <v>147</v>
      </c>
      <c r="I20" s="108"/>
      <c r="J20" s="108"/>
      <c r="K20" s="108"/>
      <c r="L20" s="109"/>
      <c r="M20" s="6"/>
      <c r="N20" s="7">
        <f>E10*1.414+T16*E16</f>
        <v>409.71</v>
      </c>
      <c r="O20" s="6" t="s">
        <v>24</v>
      </c>
      <c r="P20" s="32"/>
      <c r="Q20" s="76"/>
      <c r="R20" s="76"/>
    </row>
    <row r="21" spans="1:20" ht="24" thickBot="1">
      <c r="A21" s="32"/>
      <c r="B21" s="121" t="s">
        <v>9</v>
      </c>
      <c r="C21" s="122"/>
      <c r="D21" s="122"/>
      <c r="E21" s="122"/>
      <c r="F21" s="106"/>
      <c r="G21" s="32"/>
      <c r="H21" s="111" t="s">
        <v>146</v>
      </c>
      <c r="I21" s="112"/>
      <c r="J21" s="112"/>
      <c r="K21" s="112"/>
      <c r="L21" s="113"/>
      <c r="M21" s="9"/>
      <c r="N21" s="8">
        <f>SQRT(N17)*0.577*N11</f>
        <v>0.31583067976927387</v>
      </c>
      <c r="O21" s="6" t="s">
        <v>83</v>
      </c>
      <c r="P21" s="32"/>
      <c r="Q21" s="76"/>
      <c r="R21" s="76"/>
    </row>
    <row r="22" spans="1:20" ht="18.75">
      <c r="A22" s="32"/>
      <c r="B22" s="123" t="s">
        <v>10</v>
      </c>
      <c r="C22" s="123"/>
      <c r="D22" s="123"/>
      <c r="E22" s="68" t="s">
        <v>12</v>
      </c>
      <c r="F22" s="6"/>
      <c r="G22" s="34"/>
      <c r="H22" s="32"/>
      <c r="I22" s="32"/>
      <c r="J22" s="32"/>
      <c r="K22" s="32"/>
      <c r="L22" s="32"/>
      <c r="M22" s="32"/>
      <c r="N22" s="32"/>
      <c r="O22" s="32"/>
      <c r="P22" s="32"/>
      <c r="Q22" s="76"/>
      <c r="R22" s="76"/>
    </row>
    <row r="23" spans="1:20" ht="21">
      <c r="A23" s="32"/>
      <c r="B23" s="91" t="s">
        <v>13</v>
      </c>
      <c r="C23" s="91"/>
      <c r="D23" s="91"/>
      <c r="E23" s="58">
        <v>3</v>
      </c>
      <c r="F23" s="13" t="str">
        <f>IF(E22="Flyback","Pri:Sec","Turns Ratio Set 1:1")</f>
        <v>Turns Ratio Set 1:1</v>
      </c>
      <c r="G23" s="34"/>
      <c r="H23" s="107" t="s">
        <v>148</v>
      </c>
      <c r="I23" s="108"/>
      <c r="J23" s="108"/>
      <c r="K23" s="108"/>
      <c r="L23" s="109"/>
      <c r="M23" s="6"/>
      <c r="N23" s="7">
        <f>(E10*1.414/T16)+E16</f>
        <v>409.71</v>
      </c>
      <c r="O23" s="6" t="s">
        <v>24</v>
      </c>
      <c r="P23" s="32"/>
      <c r="Q23" s="76"/>
      <c r="R23" s="76"/>
    </row>
    <row r="24" spans="1:20" ht="18.75">
      <c r="A24" s="32"/>
      <c r="B24" s="124" t="s">
        <v>15</v>
      </c>
      <c r="C24" s="124"/>
      <c r="D24" s="124"/>
      <c r="E24" s="58" t="s">
        <v>16</v>
      </c>
      <c r="F24" s="13" t="str">
        <f>IF(AND(E24=V5, E10/E11&gt;2),"See Note 4","")</f>
        <v/>
      </c>
      <c r="G24" s="34"/>
      <c r="H24" s="34"/>
      <c r="I24" s="34"/>
      <c r="J24" s="34"/>
      <c r="K24" s="34"/>
      <c r="L24" s="34"/>
      <c r="M24" s="34"/>
      <c r="N24" s="34"/>
      <c r="O24" s="34"/>
      <c r="P24" s="32"/>
      <c r="Q24" s="76"/>
      <c r="R24" s="76"/>
    </row>
    <row r="25" spans="1:20" ht="21">
      <c r="A25" s="32"/>
      <c r="B25" s="125" t="s">
        <v>18</v>
      </c>
      <c r="C25" s="125"/>
      <c r="D25" s="125"/>
      <c r="E25" s="58">
        <v>80</v>
      </c>
      <c r="F25" s="6" t="str">
        <f>IF(E25&lt;=100,"kHz","See Note 6")</f>
        <v>kHz</v>
      </c>
      <c r="G25" s="34"/>
      <c r="H25" s="107" t="s">
        <v>85</v>
      </c>
      <c r="I25" s="108"/>
      <c r="J25" s="108"/>
      <c r="K25" s="108"/>
      <c r="L25" s="109"/>
      <c r="M25" s="9"/>
      <c r="N25" s="7">
        <f>N23*E27/E16</f>
        <v>191.19799999999998</v>
      </c>
      <c r="O25" s="6" t="s">
        <v>24</v>
      </c>
      <c r="P25" s="32"/>
      <c r="Q25" s="76"/>
      <c r="R25" s="76"/>
    </row>
    <row r="26" spans="1:20" ht="18.75">
      <c r="A26" s="32"/>
      <c r="B26" s="91" t="s">
        <v>140</v>
      </c>
      <c r="C26" s="91"/>
      <c r="D26" s="91"/>
      <c r="E26" s="58">
        <v>14</v>
      </c>
      <c r="F26" s="6" t="str">
        <f>IF(E26&lt;11.9,"See Note 2","Volts")</f>
        <v>Volts</v>
      </c>
      <c r="G26" s="32"/>
      <c r="H26" s="34"/>
      <c r="I26" s="34"/>
      <c r="J26" s="34"/>
      <c r="K26" s="34"/>
      <c r="L26" s="34"/>
      <c r="M26" s="34"/>
      <c r="N26" s="34"/>
      <c r="O26" s="34"/>
      <c r="P26" s="32"/>
      <c r="Q26" s="76"/>
      <c r="R26" s="76"/>
    </row>
    <row r="27" spans="1:20" ht="18.75">
      <c r="A27" s="32"/>
      <c r="B27" s="91" t="s">
        <v>143</v>
      </c>
      <c r="C27" s="91"/>
      <c r="D27" s="91"/>
      <c r="E27" s="74">
        <f>T38</f>
        <v>16.333333333333332</v>
      </c>
      <c r="F27" s="69" t="str">
        <f>IF(E27&lt;26,"Volts","See Note 5")</f>
        <v>Volts</v>
      </c>
      <c r="G27" s="32"/>
      <c r="H27" s="107" t="s">
        <v>86</v>
      </c>
      <c r="I27" s="108"/>
      <c r="J27" s="108"/>
      <c r="K27" s="108"/>
      <c r="L27" s="109"/>
      <c r="M27" s="6"/>
      <c r="N27" s="41">
        <f>1000*E17/(2*N16*E19*E18)</f>
        <v>25.536804131353307</v>
      </c>
      <c r="O27" s="6" t="s">
        <v>88</v>
      </c>
      <c r="P27" s="32"/>
      <c r="Q27" s="76"/>
      <c r="R27" s="76"/>
    </row>
    <row r="28" spans="1:20" ht="18.75">
      <c r="A28" s="32"/>
      <c r="B28" s="32"/>
      <c r="C28" s="32"/>
      <c r="D28" s="32"/>
      <c r="E28" s="33"/>
      <c r="F28" s="32"/>
      <c r="G28" s="32"/>
      <c r="H28" s="91" t="s">
        <v>97</v>
      </c>
      <c r="I28" s="91"/>
      <c r="J28" s="91"/>
      <c r="K28" s="91"/>
      <c r="L28" s="91"/>
      <c r="M28" s="9"/>
      <c r="N28" s="43">
        <f>0.577*T16*N11/2</f>
        <v>0.40740933521923617</v>
      </c>
      <c r="O28" s="29" t="s">
        <v>83</v>
      </c>
      <c r="P28" s="32"/>
      <c r="Q28" s="76"/>
      <c r="R28" s="76"/>
    </row>
    <row r="29" spans="1:20" ht="18.75">
      <c r="A29" s="32"/>
      <c r="B29" s="32"/>
      <c r="C29" s="32"/>
      <c r="D29" s="32"/>
      <c r="E29" s="33"/>
      <c r="F29" s="32"/>
      <c r="G29" s="32"/>
      <c r="H29" s="91" t="s">
        <v>92</v>
      </c>
      <c r="I29" s="91"/>
      <c r="J29" s="91"/>
      <c r="K29" s="91"/>
      <c r="L29" s="91"/>
      <c r="M29" s="9"/>
      <c r="N29" s="41">
        <f>T16*0.25*0.5/(E17*0.001)</f>
        <v>0.20833333333333334</v>
      </c>
      <c r="O29" s="12" t="s">
        <v>89</v>
      </c>
      <c r="P29" s="32"/>
      <c r="Q29" s="76"/>
      <c r="R29" s="76"/>
    </row>
    <row r="30" spans="1:20" ht="18.75">
      <c r="A30" s="32"/>
      <c r="B30" s="32"/>
      <c r="C30" s="32"/>
      <c r="D30" s="32"/>
      <c r="E30" s="33"/>
      <c r="F30" s="32"/>
      <c r="G30" s="32"/>
      <c r="H30" s="91" t="str">
        <f>IF(E24=V4,""," Energy Storage Capacitor")</f>
        <v xml:space="preserve"> Energy Storage Capacitor</v>
      </c>
      <c r="I30" s="91"/>
      <c r="J30" s="91"/>
      <c r="K30" s="91"/>
      <c r="L30" s="91"/>
      <c r="M30" s="9"/>
      <c r="N30" s="41">
        <f>IF(E24=V4,"",T34)</f>
        <v>21</v>
      </c>
      <c r="O30" s="66" t="s">
        <v>88</v>
      </c>
      <c r="P30" s="32"/>
      <c r="Q30" s="76"/>
      <c r="R30" s="76"/>
      <c r="T30" t="s">
        <v>137</v>
      </c>
    </row>
    <row r="31" spans="1:20" ht="18.75">
      <c r="A31" s="32"/>
      <c r="B31" s="32"/>
      <c r="C31" s="32"/>
      <c r="D31" s="32"/>
      <c r="E31" s="33"/>
      <c r="F31" s="32"/>
      <c r="G31" s="32"/>
      <c r="H31" s="91" t="str">
        <f>IF(E24=V4,"Valley Fill  Storage Capacitors","")</f>
        <v/>
      </c>
      <c r="I31" s="91"/>
      <c r="J31" s="91"/>
      <c r="K31" s="91"/>
      <c r="L31" s="91"/>
      <c r="M31" s="9"/>
      <c r="N31" s="41" t="str">
        <f>IF(E24=V4,T32*2,"")</f>
        <v/>
      </c>
      <c r="O31" s="69" t="s">
        <v>88</v>
      </c>
      <c r="P31" s="32"/>
      <c r="Q31" s="76"/>
      <c r="R31" s="76"/>
    </row>
    <row r="32" spans="1:20">
      <c r="A32" s="32"/>
      <c r="B32" s="32"/>
      <c r="C32" s="32"/>
      <c r="D32" s="32"/>
      <c r="E32" s="33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76"/>
      <c r="R32" s="76"/>
      <c r="T32">
        <f>E16*E17*0.001</f>
        <v>21</v>
      </c>
    </row>
    <row r="33" spans="8:20" ht="23.25">
      <c r="H33" s="44" t="s">
        <v>80</v>
      </c>
      <c r="I33" s="44"/>
      <c r="J33" s="44"/>
      <c r="K33" s="45"/>
      <c r="L33" s="44"/>
      <c r="M33" s="44"/>
      <c r="T33">
        <f>AVERAGE(E10:E11)</f>
        <v>232.5</v>
      </c>
    </row>
    <row r="34" spans="8:20" ht="23.25">
      <c r="H34" s="127" t="s">
        <v>81</v>
      </c>
      <c r="I34" s="127"/>
      <c r="J34" s="127"/>
      <c r="K34" s="127"/>
      <c r="L34" s="127"/>
      <c r="M34" s="127"/>
      <c r="N34" s="127"/>
      <c r="O34" s="127"/>
      <c r="P34" s="127"/>
      <c r="Q34" s="73"/>
      <c r="R34" s="73"/>
      <c r="T34">
        <f>IF(AND(E24=V5,T33&gt;220),T32*0.25,T32)</f>
        <v>21</v>
      </c>
    </row>
    <row r="35" spans="8:20" ht="23.25">
      <c r="H35" s="126" t="str">
        <f>IF(E26&lt;11.9,"2.  Low Vcc will give poor step dimming performance","")</f>
        <v/>
      </c>
      <c r="I35" s="126"/>
      <c r="J35" s="126"/>
      <c r="K35" s="126"/>
      <c r="L35" s="126"/>
      <c r="M35" s="126"/>
      <c r="N35" s="126"/>
      <c r="O35" s="126"/>
      <c r="P35" s="126"/>
      <c r="Q35" s="72"/>
      <c r="R35" s="72"/>
      <c r="T35" t="s">
        <v>141</v>
      </c>
    </row>
    <row r="36" spans="8:20" ht="23.25">
      <c r="H36" s="75" t="str">
        <f>IF(N18&lt;7%,"3.  Low duty cycles will lead to decreased current regulation accuracy","")</f>
        <v/>
      </c>
      <c r="I36" s="75"/>
      <c r="J36" s="75"/>
      <c r="K36" s="75"/>
      <c r="L36" s="75"/>
      <c r="M36" s="75"/>
      <c r="N36" s="75"/>
      <c r="O36" s="75"/>
      <c r="P36" s="75"/>
      <c r="Q36" s="72"/>
      <c r="R36" s="72"/>
      <c r="T36">
        <f>E26</f>
        <v>14</v>
      </c>
    </row>
    <row r="37" spans="8:20" ht="23.25">
      <c r="H37" s="128" t="str">
        <f>IF(AND(E24=V5,T33&lt;220),"4.  Line Range too wide to meet IEC61000-3-2 Class C or Line out of range","")</f>
        <v/>
      </c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T37" t="s">
        <v>142</v>
      </c>
    </row>
    <row r="38" spans="8:20" ht="23.25">
      <c r="H38" s="126" t="str">
        <f>IF(E27&lt;26,"","5.  Vcc too high and will trip internal OVP")</f>
        <v/>
      </c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T38">
        <f>E16*E26/E15</f>
        <v>16.333333333333332</v>
      </c>
    </row>
    <row r="39" spans="8:20" ht="23.25">
      <c r="H39" s="75" t="str">
        <f>IF(E25&lt;=100,"","6.  High frequency operation may lead to decreased current regulation accuracy")</f>
        <v/>
      </c>
      <c r="I39" s="75"/>
      <c r="J39" s="75"/>
      <c r="K39" s="75"/>
      <c r="L39" s="75"/>
      <c r="M39" s="75"/>
      <c r="N39" s="75"/>
      <c r="O39" s="75"/>
      <c r="P39" s="75"/>
      <c r="Q39" s="72"/>
      <c r="R39" s="72"/>
      <c r="T39" s="70" t="s">
        <v>149</v>
      </c>
    </row>
    <row r="40" spans="8:20" ht="23.25">
      <c r="H40" s="126" t="str">
        <f>IF(T42&gt;=5,"","7.  Off time too small")</f>
        <v/>
      </c>
      <c r="I40" s="126"/>
      <c r="J40" s="126"/>
      <c r="K40" s="126"/>
      <c r="L40" s="126"/>
      <c r="M40" s="126"/>
      <c r="N40" s="126"/>
      <c r="O40" s="126"/>
      <c r="P40" s="126"/>
      <c r="Q40" s="72"/>
      <c r="R40" s="72"/>
      <c r="T40">
        <f>E16*T16</f>
        <v>35</v>
      </c>
    </row>
    <row r="41" spans="8:20">
      <c r="T41" t="s">
        <v>150</v>
      </c>
    </row>
    <row r="42" spans="8:20">
      <c r="T42" s="71">
        <f>N10*N11/T40</f>
        <v>11.804878802105209</v>
      </c>
    </row>
  </sheetData>
  <sheetProtection password="DD03" sheet="1" objects="1" scenarios="1"/>
  <dataConsolidate/>
  <mergeCells count="47">
    <mergeCell ref="H40:P40"/>
    <mergeCell ref="H35:P35"/>
    <mergeCell ref="H38:R38"/>
    <mergeCell ref="H30:L30"/>
    <mergeCell ref="H34:P34"/>
    <mergeCell ref="H31:L31"/>
    <mergeCell ref="H37:R37"/>
    <mergeCell ref="B19:D19"/>
    <mergeCell ref="B22:D22"/>
    <mergeCell ref="B23:D23"/>
    <mergeCell ref="B24:D24"/>
    <mergeCell ref="B25:D25"/>
    <mergeCell ref="B26:D26"/>
    <mergeCell ref="B21:F21"/>
    <mergeCell ref="H27:L27"/>
    <mergeCell ref="H29:L29"/>
    <mergeCell ref="H28:L28"/>
    <mergeCell ref="B27:D27"/>
    <mergeCell ref="H18:L18"/>
    <mergeCell ref="H21:L21"/>
    <mergeCell ref="H23:L23"/>
    <mergeCell ref="H25:L25"/>
    <mergeCell ref="B7:O7"/>
    <mergeCell ref="H9:O9"/>
    <mergeCell ref="H10:L10"/>
    <mergeCell ref="B10:D10"/>
    <mergeCell ref="H17:L17"/>
    <mergeCell ref="H20:L20"/>
    <mergeCell ref="H11:L11"/>
    <mergeCell ref="B18:D18"/>
    <mergeCell ref="B16:D16"/>
    <mergeCell ref="B17:D17"/>
    <mergeCell ref="B14:F14"/>
    <mergeCell ref="B11:D11"/>
    <mergeCell ref="B12:D12"/>
    <mergeCell ref="B3:O3"/>
    <mergeCell ref="H16:L16"/>
    <mergeCell ref="B5:O5"/>
    <mergeCell ref="B6:D6"/>
    <mergeCell ref="E6:F6"/>
    <mergeCell ref="L6:O6"/>
    <mergeCell ref="B4:O4"/>
    <mergeCell ref="B9:F9"/>
    <mergeCell ref="H12:L12"/>
    <mergeCell ref="H13:L13"/>
    <mergeCell ref="B15:D15"/>
    <mergeCell ref="G6:K6"/>
  </mergeCells>
  <dataValidations count="14">
    <dataValidation type="decimal" allowBlank="1" showInputMessage="1" showErrorMessage="1" promptTitle="Iout" prompt="Select Iout 1 - 3000 mA" sqref="E17">
      <formula1>1</formula1>
      <formula2>3000</formula2>
    </dataValidation>
    <dataValidation type="decimal" allowBlank="1" showInputMessage="1" showErrorMessage="1" promptTitle="Dynamic Resistance" prompt="Select Dynamic Resistance 0.01 to 100 Ohms" sqref="E18">
      <formula1>0.01</formula1>
      <formula2>100</formula2>
    </dataValidation>
    <dataValidation type="list" allowBlank="1" showInputMessage="1" showErrorMessage="1" sqref="E22">
      <formula1>Topology</formula1>
    </dataValidation>
    <dataValidation type="decimal" allowBlank="1" showInputMessage="1" showErrorMessage="1" promptTitle="Vmax" prompt="Select V max 80-350 V ac" sqref="E10">
      <formula1>80</formula1>
      <formula2>350</formula2>
    </dataValidation>
    <dataValidation type="decimal" allowBlank="1" showInputMessage="1" showErrorMessage="1" promptTitle="Vmin" prompt="Select Vmin 80-350 V ac" sqref="E11">
      <formula1>80</formula1>
      <formula2>350</formula2>
    </dataValidation>
    <dataValidation type="list" allowBlank="1" showInputMessage="1" showErrorMessage="1" sqref="E12">
      <formula1>Frequency</formula1>
    </dataValidation>
    <dataValidation type="decimal" allowBlank="1" showInputMessage="1" showErrorMessage="1" promptTitle="Vout" prompt="Select Vout 1-100 Vdc" sqref="E16">
      <formula1>1</formula1>
      <formula2>100</formula2>
    </dataValidation>
    <dataValidation type="decimal" allowBlank="1" showInputMessage="1" showErrorMessage="1" promptTitle="Turns Ratio" prompt="Select turns ratio 0.1-100" sqref="E23">
      <formula1>0.1</formula1>
      <formula2>100</formula2>
    </dataValidation>
    <dataValidation type="list" allowBlank="1" showInputMessage="1" showErrorMessage="1" sqref="E24">
      <formula1>$V$3:$V$5</formula1>
    </dataValidation>
    <dataValidation type="decimal" allowBlank="1" showInputMessage="1" showErrorMessage="1" promptTitle="Sw Freq" prompt="Select Max Switching Frequency 20-250 kHz" sqref="E25">
      <formula1>20</formula1>
      <formula2>250</formula2>
    </dataValidation>
    <dataValidation type="decimal" allowBlank="1" showInputMessage="1" showErrorMessage="1" error="Input out of Range Vcc Min should be 10 - 26 V" promptTitle="Vcc" prompt="Vcc should be 10-25.5 V dc" sqref="E26">
      <formula1>10</formula1>
      <formula2>25.49</formula2>
    </dataValidation>
    <dataValidation allowBlank="1" showInputMessage="1" showErrorMessage="1" error="Input out of Range Vcc Min should be 10 - 26 V" promptTitle="Vcc" prompt="Vcc should be 10-25.5 V dc" sqref="E27"/>
    <dataValidation type="decimal" allowBlank="1" showInputMessage="1" showErrorMessage="1" error="Choose Ripple Current 1 - 3000 mA" prompt="Select ripple current  1 - 3000 mA" sqref="E19">
      <formula1>1</formula1>
      <formula2>3000</formula2>
    </dataValidation>
    <dataValidation type="decimal" allowBlank="1" showInputMessage="1" showErrorMessage="1" promptTitle="Vout" prompt="Select Vout 1-100 V dc" sqref="E15">
      <formula1>1</formula1>
      <formula2>100</formula2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showGridLines="0" topLeftCell="A4" zoomScale="80" zoomScaleNormal="80" workbookViewId="0">
      <selection activeCell="B9" sqref="B9"/>
    </sheetView>
  </sheetViews>
  <sheetFormatPr defaultRowHeight="15"/>
  <cols>
    <col min="1" max="1" width="9.140625" style="1"/>
    <col min="2" max="2" width="15.85546875" style="1" bestFit="1" customWidth="1"/>
    <col min="3" max="3" width="18.28515625" style="1" bestFit="1" customWidth="1"/>
    <col min="4" max="4" width="22.5703125" style="1" bestFit="1" customWidth="1"/>
    <col min="5" max="5" width="16.140625" style="1" bestFit="1" customWidth="1"/>
    <col min="6" max="6" width="11.85546875" style="1" bestFit="1" customWidth="1"/>
    <col min="7" max="7" width="26.5703125" style="1" bestFit="1" customWidth="1"/>
    <col min="8" max="8" width="14.28515625" style="1" customWidth="1"/>
    <col min="9" max="10" width="9.140625" style="1"/>
    <col min="11" max="13" width="0" style="1" hidden="1" customWidth="1"/>
    <col min="14" max="16384" width="9.140625" style="1"/>
  </cols>
  <sheetData>
    <row r="1" spans="1:13">
      <c r="A1" s="33"/>
      <c r="B1" s="33"/>
      <c r="C1" s="33"/>
      <c r="D1" s="33"/>
      <c r="E1" s="33"/>
      <c r="F1" s="33"/>
      <c r="G1" s="33"/>
      <c r="H1" s="33"/>
      <c r="I1" s="33"/>
    </row>
    <row r="2" spans="1:13">
      <c r="A2" s="33"/>
      <c r="B2" s="33"/>
      <c r="C2" s="33"/>
      <c r="D2" s="33"/>
      <c r="E2" s="33"/>
      <c r="F2" s="33"/>
      <c r="G2" s="33"/>
      <c r="H2" s="33"/>
      <c r="I2" s="33"/>
    </row>
    <row r="3" spans="1:13">
      <c r="A3" s="33"/>
      <c r="B3" s="33"/>
      <c r="C3" s="33"/>
      <c r="D3" s="33"/>
      <c r="E3" s="33"/>
      <c r="F3" s="33"/>
      <c r="G3" s="33"/>
      <c r="H3" s="33"/>
      <c r="I3" s="33"/>
    </row>
    <row r="4" spans="1:13">
      <c r="A4" s="33"/>
      <c r="B4" s="33"/>
      <c r="C4" s="33"/>
      <c r="D4" s="33"/>
      <c r="E4" s="33"/>
      <c r="F4" s="33"/>
      <c r="G4" s="33"/>
      <c r="H4" s="33"/>
      <c r="I4" s="33"/>
    </row>
    <row r="5" spans="1:13">
      <c r="A5" s="33"/>
      <c r="B5" s="33"/>
      <c r="C5" s="33"/>
      <c r="D5" s="33"/>
      <c r="E5" s="33"/>
      <c r="F5" s="33"/>
      <c r="G5" s="33"/>
      <c r="H5" s="33"/>
      <c r="I5" s="33"/>
    </row>
    <row r="6" spans="1:13" ht="26.25">
      <c r="A6" s="33"/>
      <c r="B6" s="135" t="s">
        <v>113</v>
      </c>
      <c r="C6" s="135"/>
      <c r="D6" s="135"/>
      <c r="E6" s="135"/>
      <c r="F6" s="135"/>
      <c r="G6" s="135"/>
      <c r="H6" s="135"/>
      <c r="I6" s="33"/>
    </row>
    <row r="7" spans="1:13" ht="21">
      <c r="A7" s="33"/>
      <c r="B7" s="50" t="s">
        <v>104</v>
      </c>
      <c r="C7" s="50" t="s">
        <v>129</v>
      </c>
      <c r="D7" s="50" t="s">
        <v>130</v>
      </c>
      <c r="E7" s="50" t="s">
        <v>105</v>
      </c>
      <c r="F7" s="50" t="s">
        <v>47</v>
      </c>
      <c r="G7" s="50" t="s">
        <v>131</v>
      </c>
      <c r="H7" s="50" t="s">
        <v>120</v>
      </c>
      <c r="I7" s="33"/>
    </row>
    <row r="8" spans="1:13" ht="18.75">
      <c r="A8" s="33"/>
      <c r="B8" s="58" t="s">
        <v>110</v>
      </c>
      <c r="C8" s="47">
        <f>VLOOKUP(B8,K13:M22,2,FALSE)</f>
        <v>37</v>
      </c>
      <c r="D8" s="47">
        <f>VLOOKUP(B8,K13:M22,3,FALSE)</f>
        <v>15</v>
      </c>
      <c r="E8" s="58">
        <v>0.3</v>
      </c>
      <c r="F8" s="58">
        <v>0.4</v>
      </c>
      <c r="G8" s="58">
        <v>600</v>
      </c>
      <c r="H8" s="57" t="str">
        <f>'Inductor Worksheet'!E3</f>
        <v>Good Fit</v>
      </c>
      <c r="I8" s="33"/>
    </row>
    <row r="9" spans="1:13" ht="18.75">
      <c r="A9" s="33"/>
      <c r="B9" s="11" t="s">
        <v>112</v>
      </c>
      <c r="C9" s="58">
        <v>14.7</v>
      </c>
      <c r="D9" s="58">
        <v>3.75</v>
      </c>
      <c r="E9" s="58">
        <v>0.3</v>
      </c>
      <c r="F9" s="58">
        <v>0.4</v>
      </c>
      <c r="G9" s="58">
        <v>600</v>
      </c>
      <c r="H9" s="57" t="str">
        <f>'Other Core'!E3</f>
        <v>Too Small</v>
      </c>
      <c r="I9" s="33"/>
    </row>
    <row r="10" spans="1:13" ht="18.75">
      <c r="A10" s="33"/>
      <c r="B10" s="51"/>
      <c r="C10" s="51"/>
      <c r="D10" s="51"/>
      <c r="E10" s="51"/>
      <c r="F10" s="51"/>
      <c r="G10" s="51"/>
      <c r="H10" s="33"/>
      <c r="I10" s="33"/>
    </row>
    <row r="11" spans="1:13" ht="18.75">
      <c r="A11" s="33"/>
      <c r="B11" s="51"/>
      <c r="C11" s="51"/>
      <c r="D11" s="51"/>
      <c r="E11" s="51"/>
      <c r="F11" s="51"/>
      <c r="G11" s="51"/>
      <c r="H11" s="33"/>
      <c r="I11" s="33"/>
    </row>
    <row r="12" spans="1:13" ht="26.25">
      <c r="A12" s="33"/>
      <c r="B12" s="134" t="s">
        <v>114</v>
      </c>
      <c r="C12" s="134"/>
      <c r="D12" s="134"/>
      <c r="E12" s="134"/>
      <c r="F12" s="134"/>
      <c r="G12" s="134"/>
      <c r="H12" s="134"/>
      <c r="I12" s="33"/>
      <c r="L12" s="1" t="s">
        <v>106</v>
      </c>
      <c r="M12" s="1" t="s">
        <v>107</v>
      </c>
    </row>
    <row r="13" spans="1:13" ht="18.75">
      <c r="A13" s="33"/>
      <c r="B13" s="136"/>
      <c r="C13" s="137"/>
      <c r="D13" s="50" t="str">
        <f>B8</f>
        <v>RM6I</v>
      </c>
      <c r="E13" s="50" t="s">
        <v>112</v>
      </c>
      <c r="F13" s="50" t="s">
        <v>132</v>
      </c>
      <c r="G13" s="42"/>
      <c r="H13" s="46"/>
      <c r="I13" s="33"/>
      <c r="K13" s="1" t="s">
        <v>98</v>
      </c>
      <c r="L13" s="1">
        <v>20.100000000000001</v>
      </c>
      <c r="M13" s="1">
        <v>21.6</v>
      </c>
    </row>
    <row r="14" spans="1:13" ht="21">
      <c r="A14" s="33"/>
      <c r="B14" s="133" t="s">
        <v>121</v>
      </c>
      <c r="C14" s="133"/>
      <c r="D14" s="54">
        <f>'Inductor Worksheet'!B5*'Inductor Worksheet'!J8*10000</f>
        <v>467.5822885522968</v>
      </c>
      <c r="E14" s="54">
        <f>'Other Core'!B5*'Other Core'!J8*10000</f>
        <v>467.5822885522968</v>
      </c>
      <c r="F14" s="42" t="s">
        <v>124</v>
      </c>
      <c r="G14" s="42"/>
      <c r="H14" s="46"/>
      <c r="I14" s="33"/>
      <c r="K14" s="1" t="s">
        <v>99</v>
      </c>
      <c r="L14" s="1">
        <v>12.4</v>
      </c>
      <c r="M14" s="1">
        <v>11.6</v>
      </c>
    </row>
    <row r="15" spans="1:13" ht="21">
      <c r="A15" s="33"/>
      <c r="B15" s="133" t="s">
        <v>122</v>
      </c>
      <c r="C15" s="133"/>
      <c r="D15" s="54">
        <f>'Inductor Worksheet'!G5*'Inductor Worksheet'!J8*10000</f>
        <v>555</v>
      </c>
      <c r="E15" s="54">
        <f>'Other Core'!G5*'Other Core'!J8*10000</f>
        <v>55.124999999999993</v>
      </c>
      <c r="F15" s="42" t="s">
        <v>124</v>
      </c>
      <c r="G15" s="42"/>
      <c r="H15" s="46"/>
      <c r="I15" s="33"/>
      <c r="K15" s="1" t="s">
        <v>100</v>
      </c>
      <c r="L15" s="1">
        <v>19.5</v>
      </c>
      <c r="M15" s="1">
        <v>13.6</v>
      </c>
    </row>
    <row r="16" spans="1:13" ht="21.75">
      <c r="A16" s="33"/>
      <c r="B16" s="136" t="s">
        <v>135</v>
      </c>
      <c r="C16" s="137"/>
      <c r="D16" s="54">
        <f>'Inductor Worksheet'!B20</f>
        <v>211.16951479430671</v>
      </c>
      <c r="E16" s="54">
        <f>'Other Core'!B20</f>
        <v>33.332082141637486</v>
      </c>
      <c r="F16" s="42" t="s">
        <v>123</v>
      </c>
      <c r="G16" s="42" t="str">
        <f>IF(D16*E16&lt;10000,"Caution Under 100","")</f>
        <v>Caution Under 100</v>
      </c>
      <c r="H16" s="46"/>
      <c r="I16" s="33"/>
      <c r="K16" s="1" t="s">
        <v>101</v>
      </c>
      <c r="L16" s="1">
        <v>31.4</v>
      </c>
      <c r="M16" s="1">
        <v>15</v>
      </c>
    </row>
    <row r="17" spans="1:13" ht="21">
      <c r="A17" s="33"/>
      <c r="B17" s="52" t="s">
        <v>56</v>
      </c>
      <c r="C17" s="53"/>
      <c r="D17" s="54">
        <f>'Inductor Worksheet'!F17</f>
        <v>505.49436600248293</v>
      </c>
      <c r="E17" s="54">
        <f>'Other Core'!F17</f>
        <v>5089.3310318617341</v>
      </c>
      <c r="F17" s="42" t="s">
        <v>126</v>
      </c>
      <c r="G17" s="42"/>
      <c r="H17" s="46"/>
      <c r="I17" s="33"/>
      <c r="K17" s="1" t="s">
        <v>110</v>
      </c>
      <c r="L17" s="1">
        <v>37</v>
      </c>
      <c r="M17" s="1">
        <v>15</v>
      </c>
    </row>
    <row r="18" spans="1:13" ht="18.75">
      <c r="A18" s="33"/>
      <c r="B18" s="131" t="s">
        <v>115</v>
      </c>
      <c r="C18" s="132"/>
      <c r="D18" s="64"/>
      <c r="E18" s="64"/>
      <c r="F18" s="64"/>
      <c r="G18" s="64"/>
      <c r="H18" s="65"/>
      <c r="I18" s="33"/>
      <c r="K18" s="1" t="s">
        <v>109</v>
      </c>
      <c r="L18" s="1">
        <v>52</v>
      </c>
      <c r="M18" s="1">
        <v>30</v>
      </c>
    </row>
    <row r="19" spans="1:13" ht="18.75">
      <c r="A19" s="33"/>
      <c r="B19" s="33"/>
      <c r="C19" s="59" t="s">
        <v>116</v>
      </c>
      <c r="D19" s="54">
        <f>'Inductor Worksheet'!B17</f>
        <v>37.222590817448861</v>
      </c>
      <c r="E19" s="54">
        <f>'Other Core'!B17</f>
        <v>93.689514302422324</v>
      </c>
      <c r="F19" s="64"/>
      <c r="G19" s="64"/>
      <c r="H19" s="65"/>
      <c r="I19" s="33"/>
      <c r="K19" s="1" t="s">
        <v>111</v>
      </c>
      <c r="L19" s="1">
        <v>63</v>
      </c>
      <c r="M19" s="1">
        <v>30</v>
      </c>
    </row>
    <row r="20" spans="1:13" ht="18.75">
      <c r="A20" s="33"/>
      <c r="B20" s="33"/>
      <c r="C20" s="59" t="s">
        <v>68</v>
      </c>
      <c r="D20" s="54">
        <f>'Inductor Worksheet'!F29</f>
        <v>25.030957223497225</v>
      </c>
      <c r="E20" s="54">
        <f>'Other Core'!F29</f>
        <v>34.989983932124865</v>
      </c>
      <c r="F20" s="64" t="s">
        <v>69</v>
      </c>
      <c r="G20" s="142" t="str">
        <f>IF(D20*E20&lt;1000,"Litz Wire Recommended","")</f>
        <v>Litz Wire Recommended</v>
      </c>
      <c r="H20" s="143"/>
      <c r="I20" s="33"/>
      <c r="K20" s="1" t="s">
        <v>102</v>
      </c>
      <c r="L20" s="1">
        <v>15</v>
      </c>
      <c r="M20" s="1">
        <v>14.8</v>
      </c>
    </row>
    <row r="21" spans="1:13" ht="18.75">
      <c r="A21" s="33"/>
      <c r="B21" s="138" t="s">
        <v>117</v>
      </c>
      <c r="C21" s="139"/>
      <c r="D21" s="55"/>
      <c r="E21" s="55"/>
      <c r="F21" s="55"/>
      <c r="G21" s="55"/>
      <c r="H21" s="56"/>
      <c r="I21" s="33"/>
      <c r="K21" s="1" t="s">
        <v>103</v>
      </c>
      <c r="L21" s="1">
        <v>31</v>
      </c>
      <c r="M21" s="1">
        <v>26.4</v>
      </c>
    </row>
    <row r="22" spans="1:13" ht="18.75">
      <c r="A22" s="33"/>
      <c r="B22" s="51"/>
      <c r="C22" s="60" t="s">
        <v>116</v>
      </c>
      <c r="D22" s="54">
        <f>D19*'Step 1'!E26/('Step 1'!E15*'Step 1'!T16)</f>
        <v>17.370542381476135</v>
      </c>
      <c r="E22" s="54">
        <f>E19*'Step 1'!E26/('Step 1'!E15*'Step 1'!T16)</f>
        <v>43.721773341130415</v>
      </c>
      <c r="F22" s="55"/>
      <c r="G22" s="55"/>
      <c r="H22" s="56"/>
      <c r="I22" s="33"/>
      <c r="K22" s="1" t="s">
        <v>108</v>
      </c>
      <c r="L22" s="1">
        <v>61.9</v>
      </c>
      <c r="M22" s="1">
        <v>23.5</v>
      </c>
    </row>
    <row r="23" spans="1:13" ht="18.75">
      <c r="A23" s="33"/>
      <c r="B23" s="51"/>
      <c r="C23" s="60" t="s">
        <v>68</v>
      </c>
      <c r="D23" s="47">
        <v>36</v>
      </c>
      <c r="E23" s="47">
        <v>36</v>
      </c>
      <c r="F23" s="55" t="s">
        <v>69</v>
      </c>
      <c r="G23" s="55"/>
      <c r="H23" s="56"/>
      <c r="I23" s="33"/>
    </row>
    <row r="24" spans="1:13" ht="18.75">
      <c r="A24" s="33"/>
      <c r="B24" s="140" t="s">
        <v>118</v>
      </c>
      <c r="C24" s="141"/>
      <c r="D24" s="62"/>
      <c r="E24" s="62"/>
      <c r="F24" s="62"/>
      <c r="G24" s="62"/>
      <c r="H24" s="63"/>
      <c r="I24" s="33"/>
      <c r="K24" s="1" t="s">
        <v>119</v>
      </c>
      <c r="L24" s="3">
        <f>D19/'Step 1'!T16</f>
        <v>37.222590817448861</v>
      </c>
      <c r="M24" s="3">
        <f>E19/'Step 1'!T16</f>
        <v>93.689514302422324</v>
      </c>
    </row>
    <row r="25" spans="1:13" ht="18.75">
      <c r="A25" s="33"/>
      <c r="B25" s="51"/>
      <c r="C25" s="61" t="s">
        <v>116</v>
      </c>
      <c r="D25" s="54" t="str">
        <f>IF('Step 1'!E22="Flyback",'Step 2'!L24,"NA")</f>
        <v>NA</v>
      </c>
      <c r="E25" s="54" t="str">
        <f>IF('Step 1'!E22="Flyback",'Step 2'!M24,"NA")</f>
        <v>NA</v>
      </c>
      <c r="F25" s="62"/>
      <c r="G25" s="62"/>
      <c r="H25" s="63"/>
      <c r="I25" s="33"/>
      <c r="K25" s="1" t="s">
        <v>125</v>
      </c>
      <c r="L25" s="3">
        <f>'Inductor Worksheet'!J29</f>
        <v>25.030957223497225</v>
      </c>
      <c r="M25" s="3">
        <f>'Other Core'!J29</f>
        <v>34.989983932124865</v>
      </c>
    </row>
    <row r="26" spans="1:13" ht="18.75">
      <c r="A26" s="33"/>
      <c r="B26" s="51"/>
      <c r="C26" s="61" t="s">
        <v>68</v>
      </c>
      <c r="D26" s="54" t="str">
        <f>IF('Step 1'!E22="Flyback",'Step 2'!L25,"NA")</f>
        <v>NA</v>
      </c>
      <c r="E26" s="54" t="str">
        <f>IF('Step 1'!E22="Flyback",'Step 2'!M25,"NA")</f>
        <v>NA</v>
      </c>
      <c r="F26" s="62" t="s">
        <v>69</v>
      </c>
      <c r="G26" s="129" t="e">
        <f>IF(D26*E26&lt;1000,"Litz Wire Recommended","")</f>
        <v>#VALUE!</v>
      </c>
      <c r="H26" s="130"/>
      <c r="I26" s="33"/>
    </row>
    <row r="27" spans="1:13">
      <c r="A27" s="33"/>
      <c r="B27" s="33"/>
      <c r="C27" s="33"/>
      <c r="D27" s="33"/>
      <c r="E27" s="33"/>
      <c r="F27" s="33"/>
      <c r="G27" s="33"/>
      <c r="H27" s="33"/>
      <c r="I27" s="33"/>
    </row>
  </sheetData>
  <sheetProtection password="DD03" sheet="1" objects="1" scenarios="1"/>
  <mergeCells count="11">
    <mergeCell ref="B6:H6"/>
    <mergeCell ref="B13:C13"/>
    <mergeCell ref="B21:C21"/>
    <mergeCell ref="B24:C24"/>
    <mergeCell ref="B16:C16"/>
    <mergeCell ref="G20:H20"/>
    <mergeCell ref="G26:H26"/>
    <mergeCell ref="B18:C18"/>
    <mergeCell ref="B14:C14"/>
    <mergeCell ref="B15:C15"/>
    <mergeCell ref="B12:H12"/>
  </mergeCells>
  <dataValidations count="7">
    <dataValidation type="list" allowBlank="1" showInputMessage="1" showErrorMessage="1" sqref="B8">
      <formula1>Cores</formula1>
    </dataValidation>
    <dataValidation type="decimal" allowBlank="1" showInputMessage="1" showErrorMessage="1" sqref="E8 E9">
      <formula1>0</formula1>
      <formula2>10</formula2>
    </dataValidation>
    <dataValidation type="decimal" allowBlank="1" showInputMessage="1" showErrorMessage="1" promptTitle="Fill Factor" prompt="Choose a Value 0 - 1" sqref="F8">
      <formula1>0</formula1>
      <formula2>1</formula2>
    </dataValidation>
    <dataValidation type="decimal" allowBlank="1" showInputMessage="1" showErrorMessage="1" promptTitle="Fill Factor" prompt="Choose a Value 0-1" sqref="F9">
      <formula1>0</formula1>
      <formula2>1</formula2>
    </dataValidation>
    <dataValidation type="decimal" allowBlank="1" showInputMessage="1" showErrorMessage="1" sqref="G9">
      <formula1>0</formula1>
      <formula2>10000</formula2>
    </dataValidation>
    <dataValidation type="decimal" allowBlank="1" showInputMessage="1" showErrorMessage="1" sqref="D9 C9">
      <formula1>0</formula1>
      <formula2>1000</formula2>
    </dataValidation>
    <dataValidation type="whole" allowBlank="1" showInputMessage="1" showErrorMessage="1" sqref="G8">
      <formula1>0</formula1>
      <formula2>10000</formula2>
    </dataValidation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47"/>
  <sheetViews>
    <sheetView topLeftCell="A4" workbookViewId="0">
      <selection activeCell="J8" sqref="J8"/>
    </sheetView>
  </sheetViews>
  <sheetFormatPr defaultRowHeight="15"/>
  <cols>
    <col min="1" max="1" width="24" bestFit="1" customWidth="1"/>
    <col min="2" max="2" width="19.28515625" bestFit="1" customWidth="1"/>
    <col min="3" max="3" width="15.28515625" bestFit="1" customWidth="1"/>
    <col min="5" max="5" width="30.7109375" bestFit="1" customWidth="1"/>
    <col min="6" max="6" width="19.140625" bestFit="1" customWidth="1"/>
    <col min="7" max="7" width="18" bestFit="1" customWidth="1"/>
    <col min="8" max="8" width="4.5703125" bestFit="1" customWidth="1"/>
    <col min="9" max="9" width="25" bestFit="1" customWidth="1"/>
    <col min="10" max="10" width="8.42578125" bestFit="1" customWidth="1"/>
    <col min="11" max="11" width="18" bestFit="1" customWidth="1"/>
  </cols>
  <sheetData>
    <row r="2" spans="1:11">
      <c r="I2" s="48" t="s">
        <v>127</v>
      </c>
    </row>
    <row r="3" spans="1:11" ht="20.25">
      <c r="A3" s="1"/>
      <c r="B3" s="1"/>
      <c r="C3" s="1"/>
      <c r="D3" s="1"/>
      <c r="E3" s="31" t="str">
        <f>IF(B5&lt;G5,I2,I3)</f>
        <v>Good Fit</v>
      </c>
      <c r="F3" s="1"/>
      <c r="G3" s="1"/>
      <c r="H3" s="1"/>
      <c r="I3" s="49" t="s">
        <v>128</v>
      </c>
      <c r="K3" s="30"/>
    </row>
    <row r="4" spans="1:11">
      <c r="A4" s="1"/>
      <c r="B4" s="1"/>
      <c r="C4" s="1"/>
      <c r="D4" s="1"/>
      <c r="E4" s="1"/>
      <c r="F4" s="1"/>
      <c r="G4" s="1"/>
      <c r="H4" s="1"/>
    </row>
    <row r="5" spans="1:11" ht="18.75">
      <c r="A5" s="14" t="s">
        <v>29</v>
      </c>
      <c r="B5" s="15">
        <f>(B8*0.01*B9*B10)/(B11*B12*B13)</f>
        <v>4.6758228855229678E-2</v>
      </c>
      <c r="C5" s="14" t="s">
        <v>30</v>
      </c>
      <c r="D5" s="16"/>
      <c r="E5" s="16"/>
      <c r="F5" s="14" t="s">
        <v>31</v>
      </c>
      <c r="G5" s="15">
        <f>F8*F9</f>
        <v>5.5500000000000001E-2</v>
      </c>
      <c r="H5" s="14" t="s">
        <v>30</v>
      </c>
    </row>
    <row r="6" spans="1:11">
      <c r="A6" s="1"/>
      <c r="B6" s="1"/>
      <c r="C6" s="1"/>
      <c r="D6" s="1"/>
      <c r="E6" s="1"/>
      <c r="F6" s="1"/>
      <c r="G6" s="1"/>
      <c r="H6" s="1"/>
    </row>
    <row r="7" spans="1:11">
      <c r="A7" s="1"/>
      <c r="B7" s="17" t="s">
        <v>32</v>
      </c>
      <c r="C7" s="1"/>
      <c r="D7" s="1"/>
      <c r="E7" s="1"/>
      <c r="F7" s="17" t="s">
        <v>33</v>
      </c>
      <c r="G7" s="1"/>
      <c r="H7" s="1"/>
    </row>
    <row r="8" spans="1:11" ht="16.5">
      <c r="A8" s="1" t="s">
        <v>34</v>
      </c>
      <c r="B8" s="26">
        <f>'Step 1'!N10</f>
        <v>292.57985372405193</v>
      </c>
      <c r="C8" s="1" t="s">
        <v>27</v>
      </c>
      <c r="D8" s="1"/>
      <c r="E8" s="1" t="s">
        <v>35</v>
      </c>
      <c r="F8" s="2">
        <f>'Step 2'!C8/100</f>
        <v>0.37</v>
      </c>
      <c r="G8" s="1" t="s">
        <v>36</v>
      </c>
      <c r="H8" s="1"/>
      <c r="J8">
        <f>IF('Step 1'!E22="Flyback",2,1)</f>
        <v>1</v>
      </c>
    </row>
    <row r="9" spans="1:11" ht="16.5">
      <c r="A9" s="1" t="s">
        <v>37</v>
      </c>
      <c r="B9" s="27">
        <f>'Step 1'!N11</f>
        <v>1.4121640735502121</v>
      </c>
      <c r="C9" s="1" t="s">
        <v>38</v>
      </c>
      <c r="D9" s="1"/>
      <c r="E9" s="1" t="s">
        <v>39</v>
      </c>
      <c r="F9" s="2">
        <f>'Step 2'!D8/(J8*100)</f>
        <v>0.15</v>
      </c>
      <c r="G9" s="1" t="s">
        <v>36</v>
      </c>
      <c r="H9" s="1"/>
    </row>
    <row r="10" spans="1:11">
      <c r="A10" s="1" t="s">
        <v>40</v>
      </c>
      <c r="B10" s="27">
        <f>C24</f>
        <v>0.81481867043847245</v>
      </c>
      <c r="C10" s="1" t="s">
        <v>38</v>
      </c>
      <c r="D10" s="1"/>
      <c r="E10" s="1" t="s">
        <v>41</v>
      </c>
      <c r="F10" s="2">
        <v>1.8</v>
      </c>
      <c r="G10" s="1" t="s">
        <v>42</v>
      </c>
      <c r="H10" s="1"/>
    </row>
    <row r="11" spans="1:11" ht="16.5">
      <c r="A11" s="1" t="s">
        <v>43</v>
      </c>
      <c r="B11" s="2">
        <f>'Step 2'!G8</f>
        <v>600</v>
      </c>
      <c r="C11" s="1" t="s">
        <v>44</v>
      </c>
      <c r="D11" s="1"/>
      <c r="E11" s="1" t="s">
        <v>45</v>
      </c>
      <c r="F11" s="2">
        <v>0.75</v>
      </c>
      <c r="G11" s="1" t="s">
        <v>46</v>
      </c>
      <c r="H11" s="1"/>
    </row>
    <row r="12" spans="1:11" ht="16.5">
      <c r="A12" s="1" t="s">
        <v>47</v>
      </c>
      <c r="B12" s="2">
        <f>'Step 2'!F8</f>
        <v>0.4</v>
      </c>
      <c r="C12" s="1"/>
      <c r="D12" s="1"/>
      <c r="E12" s="1" t="s">
        <v>48</v>
      </c>
      <c r="F12" s="3">
        <f>B17/(F9*0.4*0.4*B12)</f>
        <v>3877.3532101509227</v>
      </c>
      <c r="G12" s="1"/>
      <c r="H12" s="1"/>
    </row>
    <row r="13" spans="1:11">
      <c r="A13" s="1" t="s">
        <v>49</v>
      </c>
      <c r="B13" s="2">
        <f>'Step 2'!E8</f>
        <v>0.3</v>
      </c>
      <c r="C13" s="1" t="s">
        <v>50</v>
      </c>
      <c r="D13" s="1"/>
      <c r="E13" s="1" t="s">
        <v>51</v>
      </c>
      <c r="F13" s="1">
        <v>3.1</v>
      </c>
      <c r="G13" s="1" t="s">
        <v>42</v>
      </c>
      <c r="H13" s="1"/>
    </row>
    <row r="14" spans="1:11" ht="16.5">
      <c r="A14" s="1" t="s">
        <v>52</v>
      </c>
      <c r="B14" s="19">
        <f>F9</f>
        <v>0.15</v>
      </c>
      <c r="C14" s="1" t="s">
        <v>36</v>
      </c>
      <c r="D14" s="1"/>
      <c r="E14" s="1" t="s">
        <v>53</v>
      </c>
      <c r="F14" s="1">
        <v>3000</v>
      </c>
      <c r="G14" s="1"/>
      <c r="H14" s="1"/>
    </row>
    <row r="15" spans="1:11">
      <c r="A15" s="1"/>
      <c r="B15" s="1"/>
      <c r="C15" s="1"/>
      <c r="D15" s="1"/>
      <c r="E15" s="1"/>
      <c r="F15" s="1"/>
      <c r="G15" s="1"/>
      <c r="H15" s="1"/>
    </row>
    <row r="16" spans="1:11" ht="16.5">
      <c r="A16" s="1"/>
      <c r="B16" s="1"/>
      <c r="C16" s="1"/>
      <c r="D16" s="1"/>
      <c r="E16" s="1" t="s">
        <v>54</v>
      </c>
      <c r="F16" s="4">
        <f>F9*B12/B17</f>
        <v>1.6119243363327024E-3</v>
      </c>
      <c r="G16" s="1" t="s">
        <v>36</v>
      </c>
      <c r="H16" s="1"/>
      <c r="I16" s="1" t="s">
        <v>54</v>
      </c>
      <c r="J16" s="4">
        <f>'Step 1'!T16*F9*B12/B17</f>
        <v>1.6119243363327024E-3</v>
      </c>
      <c r="K16" s="1" t="s">
        <v>36</v>
      </c>
    </row>
    <row r="17" spans="1:11" ht="16.5">
      <c r="A17" s="1" t="s">
        <v>55</v>
      </c>
      <c r="B17" s="20">
        <f>B8*0.000001*B9/(B13*F8*0.0001)</f>
        <v>37.222590817448861</v>
      </c>
      <c r="C17" s="1"/>
      <c r="D17" s="1"/>
      <c r="E17" s="1" t="s">
        <v>56</v>
      </c>
      <c r="F17" s="3">
        <f>B10/F16</f>
        <v>505.49436600248293</v>
      </c>
      <c r="G17" s="1" t="s">
        <v>44</v>
      </c>
      <c r="H17" s="1"/>
      <c r="I17" s="1" t="s">
        <v>56</v>
      </c>
      <c r="J17" s="3">
        <f>'Step 1'!T16*B10/J16</f>
        <v>505.49436600248293</v>
      </c>
      <c r="K17" s="1" t="s">
        <v>44</v>
      </c>
    </row>
    <row r="18" spans="1:11">
      <c r="A18" s="1"/>
      <c r="B18" s="1"/>
      <c r="C18" s="1"/>
      <c r="D18" s="1"/>
      <c r="E18" s="1" t="s">
        <v>57</v>
      </c>
      <c r="F18" s="4">
        <f>SQRT(4*F16/3.1415)*10/25.4</f>
        <v>1.7836107166802215E-2</v>
      </c>
      <c r="G18" s="1" t="s">
        <v>58</v>
      </c>
      <c r="H18" s="1"/>
      <c r="I18" s="1" t="s">
        <v>57</v>
      </c>
      <c r="J18" s="4">
        <f>SQRT(4*J16/3.1415)*10/25.4</f>
        <v>1.7836107166802215E-2</v>
      </c>
      <c r="K18" s="1" t="s">
        <v>58</v>
      </c>
    </row>
    <row r="19" spans="1:11">
      <c r="A19" s="1"/>
      <c r="B19" s="1"/>
      <c r="C19" s="1"/>
      <c r="D19" s="1"/>
      <c r="E19" s="1"/>
      <c r="F19" s="4">
        <f>F18*2.54</f>
        <v>4.5303712203677626E-2</v>
      </c>
      <c r="G19" s="1" t="s">
        <v>42</v>
      </c>
      <c r="H19" s="1"/>
      <c r="I19" s="1"/>
      <c r="J19" s="4">
        <f>J18*2.54</f>
        <v>4.5303712203677626E-2</v>
      </c>
      <c r="K19" s="1" t="s">
        <v>42</v>
      </c>
    </row>
    <row r="20" spans="1:11">
      <c r="A20" s="1" t="s">
        <v>59</v>
      </c>
      <c r="B20" s="20">
        <f>1000*B8/B17^2</f>
        <v>211.16951479430671</v>
      </c>
      <c r="C20" s="21" t="s">
        <v>60</v>
      </c>
      <c r="D20" s="1"/>
      <c r="E20" s="1"/>
      <c r="F20" s="22">
        <f>F19*10</f>
        <v>0.45303712203677626</v>
      </c>
      <c r="G20" s="1" t="s">
        <v>61</v>
      </c>
      <c r="H20" s="1"/>
      <c r="I20" s="1"/>
      <c r="J20" s="22">
        <f>J19*10</f>
        <v>0.45303712203677626</v>
      </c>
      <c r="K20" s="1" t="s">
        <v>61</v>
      </c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 t="s">
        <v>62</v>
      </c>
      <c r="F22" s="23">
        <f>1000*F10*B17*P8/F16</f>
        <v>0</v>
      </c>
      <c r="G22" s="1" t="s">
        <v>63</v>
      </c>
      <c r="H22" s="1"/>
      <c r="I22" s="1" t="s">
        <v>62</v>
      </c>
      <c r="J22" s="23">
        <f>1000*J10*F17*T8/J16</f>
        <v>0</v>
      </c>
      <c r="K22" s="1" t="s">
        <v>63</v>
      </c>
    </row>
    <row r="23" spans="1:11">
      <c r="A23" s="1"/>
      <c r="B23" s="28"/>
      <c r="C23" s="1"/>
      <c r="D23" s="1"/>
      <c r="E23" s="1"/>
      <c r="F23" s="23">
        <f>F22*(1+75*P9)</f>
        <v>0</v>
      </c>
      <c r="G23" s="1" t="s">
        <v>64</v>
      </c>
      <c r="H23" s="1"/>
      <c r="I23" s="1"/>
      <c r="J23" s="23">
        <f>J22*(1+75*T9)</f>
        <v>0</v>
      </c>
      <c r="K23" s="1" t="s">
        <v>64</v>
      </c>
    </row>
    <row r="24" spans="1:11">
      <c r="A24" s="1" t="s">
        <v>133</v>
      </c>
      <c r="B24" s="1">
        <f>'Step 1'!N13</f>
        <v>0.31583067976927387</v>
      </c>
      <c r="C24" s="1">
        <f>IF('Step 1'!E22="Flyback",'Inductor Worksheet'!B24,B26)</f>
        <v>0.81481867043847245</v>
      </c>
      <c r="D24" s="1"/>
      <c r="E24" s="1"/>
      <c r="F24" s="1"/>
      <c r="G24" s="1"/>
      <c r="H24" s="1"/>
      <c r="I24" s="1"/>
      <c r="J24" s="1"/>
      <c r="K24" s="1"/>
    </row>
    <row r="25" spans="1:11">
      <c r="A25" s="1" t="s">
        <v>134</v>
      </c>
      <c r="B25" s="1">
        <f>'Step 1'!N12</f>
        <v>0.75111946280974395</v>
      </c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>
        <f>SQRT(SUMSQ(B24:B25))</f>
        <v>0.81481867043847245</v>
      </c>
      <c r="C26" s="1"/>
      <c r="D26" s="1"/>
      <c r="E26" s="1" t="s">
        <v>65</v>
      </c>
      <c r="F26" s="22">
        <f>B10^2*F22*0.001</f>
        <v>0</v>
      </c>
      <c r="G26" s="1" t="s">
        <v>66</v>
      </c>
      <c r="H26" s="1"/>
      <c r="I26" s="1" t="s">
        <v>65</v>
      </c>
      <c r="J26" s="22">
        <f>F10^2*J22*0.001</f>
        <v>0</v>
      </c>
      <c r="K26" s="1" t="s">
        <v>66</v>
      </c>
    </row>
    <row r="27" spans="1:11">
      <c r="A27" s="1"/>
      <c r="B27" s="1"/>
      <c r="C27" s="1"/>
      <c r="D27" s="1"/>
      <c r="E27" s="1"/>
      <c r="F27" s="22">
        <f>B10^2*F23/1000</f>
        <v>0</v>
      </c>
      <c r="G27" s="1" t="s">
        <v>67</v>
      </c>
      <c r="H27" s="1"/>
      <c r="I27" s="1"/>
      <c r="J27" s="22">
        <f>F10^2*J23/1000</f>
        <v>0</v>
      </c>
      <c r="K27" s="1" t="s">
        <v>67</v>
      </c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>
      <c r="A29" s="1"/>
      <c r="B29" s="1"/>
      <c r="C29" s="1"/>
      <c r="D29" s="1"/>
      <c r="E29" s="1" t="s">
        <v>68</v>
      </c>
      <c r="F29" s="24">
        <f>-39*LOG(F18/0.005,92)+36</f>
        <v>25.030957223497225</v>
      </c>
      <c r="G29" s="1" t="s">
        <v>69</v>
      </c>
      <c r="H29" s="1"/>
      <c r="I29" s="1" t="s">
        <v>68</v>
      </c>
      <c r="J29" s="24">
        <f>-39*LOG(J18/0.005,92)+36</f>
        <v>25.030957223497225</v>
      </c>
      <c r="K29" s="1" t="s">
        <v>69</v>
      </c>
    </row>
    <row r="30" spans="1:11">
      <c r="A30" s="1"/>
      <c r="B30" s="1"/>
      <c r="C30" s="1"/>
      <c r="D30" s="1"/>
      <c r="E30" s="1"/>
      <c r="F30" s="1"/>
      <c r="G30" s="1"/>
      <c r="H30" s="1"/>
    </row>
    <row r="31" spans="1:11">
      <c r="A31" s="1"/>
      <c r="B31" s="1"/>
      <c r="C31" s="1"/>
      <c r="D31" s="1"/>
      <c r="E31" s="1"/>
      <c r="F31" s="1"/>
      <c r="G31" s="1"/>
      <c r="H31" s="1"/>
    </row>
    <row r="32" spans="1:11">
      <c r="A32" s="1"/>
      <c r="B32" s="1"/>
      <c r="C32" s="1"/>
      <c r="D32" s="1"/>
      <c r="E32" s="1"/>
      <c r="F32" s="1"/>
      <c r="G32" s="1"/>
      <c r="H32" s="1"/>
    </row>
    <row r="33" spans="1:8" ht="15.75">
      <c r="A33" s="1"/>
      <c r="B33" s="1"/>
      <c r="C33" s="1"/>
      <c r="D33" s="1"/>
      <c r="E33" s="1"/>
      <c r="F33" s="14" t="s">
        <v>70</v>
      </c>
      <c r="G33" s="1"/>
      <c r="H33" s="1"/>
    </row>
    <row r="34" spans="1:8">
      <c r="A34" s="1"/>
      <c r="B34" s="1"/>
      <c r="C34" s="1"/>
      <c r="D34" s="1"/>
      <c r="E34" s="1" t="s">
        <v>71</v>
      </c>
      <c r="F34" s="18">
        <v>5</v>
      </c>
      <c r="G34" s="1" t="s">
        <v>38</v>
      </c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 t="s">
        <v>72</v>
      </c>
      <c r="F36" s="25">
        <f>B13*(F34/B9)</f>
        <v>1.0621995192307692</v>
      </c>
      <c r="G36" s="1" t="s">
        <v>50</v>
      </c>
      <c r="H36" s="1"/>
    </row>
    <row r="37" spans="1:8">
      <c r="A37" s="1"/>
      <c r="B37" s="1"/>
      <c r="C37" s="1"/>
      <c r="D37" s="1"/>
      <c r="E37" s="1"/>
      <c r="F37" s="3">
        <f>F36*10000</f>
        <v>10621.995192307691</v>
      </c>
      <c r="G37" s="1" t="s">
        <v>73</v>
      </c>
      <c r="H37" s="1"/>
    </row>
    <row r="38" spans="1:8">
      <c r="A38" s="1"/>
      <c r="B38" s="1"/>
      <c r="C38" s="1"/>
      <c r="D38" s="1"/>
      <c r="E38" s="1"/>
      <c r="F38" s="3">
        <f>F36*1000</f>
        <v>1062.1995192307691</v>
      </c>
      <c r="G38" s="1" t="s">
        <v>74</v>
      </c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 t="s">
        <v>75</v>
      </c>
      <c r="F40" s="4">
        <f>0.5*F36</f>
        <v>0.53109975961538458</v>
      </c>
      <c r="G40" s="1" t="s">
        <v>50</v>
      </c>
      <c r="H40" s="1"/>
    </row>
    <row r="41" spans="1:8">
      <c r="A41" s="1"/>
      <c r="B41" s="1"/>
      <c r="C41" s="1"/>
      <c r="D41" s="1"/>
      <c r="E41" s="1"/>
      <c r="F41" s="3">
        <f>0.5*F37</f>
        <v>5310.9975961538457</v>
      </c>
      <c r="G41" s="1" t="s">
        <v>73</v>
      </c>
      <c r="H41" s="1"/>
    </row>
    <row r="42" spans="1:8">
      <c r="A42" s="1"/>
      <c r="B42" s="1"/>
      <c r="C42" s="1"/>
      <c r="D42" s="1"/>
      <c r="E42" s="1"/>
      <c r="F42" s="3">
        <f>0.5*F38</f>
        <v>531.09975961538453</v>
      </c>
      <c r="G42" s="1" t="s">
        <v>74</v>
      </c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 ht="16.5">
      <c r="A44" s="1"/>
      <c r="B44" s="1"/>
      <c r="C44" s="1"/>
      <c r="D44" s="1"/>
      <c r="E44" s="1" t="s">
        <v>76</v>
      </c>
      <c r="F44" s="18">
        <v>120</v>
      </c>
      <c r="G44" s="1" t="s">
        <v>77</v>
      </c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 t="s">
        <v>78</v>
      </c>
      <c r="F46" s="1">
        <f>F44*F11</f>
        <v>90</v>
      </c>
      <c r="G46" s="1" t="s">
        <v>79</v>
      </c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sheetProtection password="DD03" sheet="1" objects="1" scenarios="1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K47"/>
  <sheetViews>
    <sheetView topLeftCell="A4" workbookViewId="0">
      <selection activeCell="B11" sqref="B11"/>
    </sheetView>
  </sheetViews>
  <sheetFormatPr defaultRowHeight="15"/>
  <cols>
    <col min="1" max="1" width="24" bestFit="1" customWidth="1"/>
    <col min="2" max="2" width="19.28515625" bestFit="1" customWidth="1"/>
    <col min="3" max="3" width="15.28515625" bestFit="1" customWidth="1"/>
    <col min="5" max="5" width="30.7109375" bestFit="1" customWidth="1"/>
    <col min="6" max="6" width="19.140625" bestFit="1" customWidth="1"/>
    <col min="7" max="7" width="18" bestFit="1" customWidth="1"/>
    <col min="8" max="8" width="4.5703125" bestFit="1" customWidth="1"/>
    <col min="9" max="9" width="25" bestFit="1" customWidth="1"/>
    <col min="10" max="10" width="8.42578125" bestFit="1" customWidth="1"/>
    <col min="11" max="11" width="18" bestFit="1" customWidth="1"/>
  </cols>
  <sheetData>
    <row r="3" spans="1:11" ht="20.25">
      <c r="A3" s="1"/>
      <c r="B3" s="1"/>
      <c r="C3" s="1"/>
      <c r="D3" s="1"/>
      <c r="E3" s="31" t="str">
        <f>IF(B5&lt;G5,"Good Fit","Too Small")</f>
        <v>Too Small</v>
      </c>
      <c r="F3" s="1"/>
      <c r="G3" s="1"/>
      <c r="H3" s="1"/>
      <c r="K3" s="30"/>
    </row>
    <row r="4" spans="1:11">
      <c r="A4" s="1"/>
      <c r="B4" s="1"/>
      <c r="C4" s="1"/>
      <c r="D4" s="1"/>
      <c r="E4" s="1"/>
      <c r="F4" s="1"/>
      <c r="G4" s="1"/>
      <c r="H4" s="1"/>
    </row>
    <row r="5" spans="1:11" ht="18.75">
      <c r="A5" s="14" t="s">
        <v>29</v>
      </c>
      <c r="B5" s="15">
        <f>(B8*0.01*B9*B10)/(B11*B12*B13)</f>
        <v>4.6758228855229678E-2</v>
      </c>
      <c r="C5" s="14" t="s">
        <v>30</v>
      </c>
      <c r="D5" s="16"/>
      <c r="E5" s="16"/>
      <c r="F5" s="14" t="s">
        <v>31</v>
      </c>
      <c r="G5" s="15">
        <f>F8*F9</f>
        <v>5.5124999999999992E-3</v>
      </c>
      <c r="H5" s="14" t="s">
        <v>30</v>
      </c>
    </row>
    <row r="6" spans="1:11">
      <c r="A6" s="1"/>
      <c r="B6" s="1"/>
      <c r="C6" s="1"/>
      <c r="D6" s="1"/>
      <c r="E6" s="1"/>
      <c r="F6" s="1"/>
      <c r="G6" s="1"/>
      <c r="H6" s="1"/>
    </row>
    <row r="7" spans="1:11">
      <c r="A7" s="1"/>
      <c r="B7" s="17" t="s">
        <v>32</v>
      </c>
      <c r="C7" s="1"/>
      <c r="D7" s="1"/>
      <c r="E7" s="1"/>
      <c r="F7" s="17" t="s">
        <v>33</v>
      </c>
      <c r="G7" s="1"/>
      <c r="H7" s="1"/>
    </row>
    <row r="8" spans="1:11" ht="16.5">
      <c r="A8" s="1" t="s">
        <v>34</v>
      </c>
      <c r="B8" s="26">
        <f>'Step 1'!N10</f>
        <v>292.57985372405193</v>
      </c>
      <c r="C8" s="1" t="s">
        <v>27</v>
      </c>
      <c r="D8" s="1"/>
      <c r="E8" s="1" t="s">
        <v>35</v>
      </c>
      <c r="F8" s="2">
        <f>'Step 2'!C9/100</f>
        <v>0.14699999999999999</v>
      </c>
      <c r="G8" s="1" t="s">
        <v>36</v>
      </c>
      <c r="H8" s="1"/>
      <c r="J8">
        <f>IF('Step 1'!E22="Flyback",2,1)</f>
        <v>1</v>
      </c>
    </row>
    <row r="9" spans="1:11" ht="16.5">
      <c r="A9" s="1" t="s">
        <v>37</v>
      </c>
      <c r="B9" s="27">
        <f>'Step 1'!N11</f>
        <v>1.4121640735502121</v>
      </c>
      <c r="C9" s="1" t="s">
        <v>38</v>
      </c>
      <c r="D9" s="1"/>
      <c r="E9" s="1" t="s">
        <v>39</v>
      </c>
      <c r="F9" s="2">
        <f>'Step 2'!D9/(J8*100)</f>
        <v>3.7499999999999999E-2</v>
      </c>
      <c r="G9" s="1" t="s">
        <v>36</v>
      </c>
      <c r="H9" s="1"/>
    </row>
    <row r="10" spans="1:11">
      <c r="A10" s="1" t="s">
        <v>40</v>
      </c>
      <c r="B10" s="27">
        <f>C24</f>
        <v>0.81481867043847245</v>
      </c>
      <c r="C10" s="1" t="s">
        <v>38</v>
      </c>
      <c r="D10" s="1"/>
      <c r="E10" s="1" t="s">
        <v>41</v>
      </c>
      <c r="F10" s="2">
        <v>1.8</v>
      </c>
      <c r="G10" s="1" t="s">
        <v>42</v>
      </c>
      <c r="H10" s="1"/>
    </row>
    <row r="11" spans="1:11" ht="16.5">
      <c r="A11" s="1" t="s">
        <v>43</v>
      </c>
      <c r="B11" s="2">
        <f>'Step 2'!G9</f>
        <v>600</v>
      </c>
      <c r="C11" s="1" t="s">
        <v>44</v>
      </c>
      <c r="D11" s="1"/>
      <c r="E11" s="1" t="s">
        <v>45</v>
      </c>
      <c r="F11" s="2">
        <v>0.75</v>
      </c>
      <c r="G11" s="1" t="s">
        <v>46</v>
      </c>
      <c r="H11" s="1"/>
    </row>
    <row r="12" spans="1:11" ht="16.5">
      <c r="A12" s="1" t="s">
        <v>47</v>
      </c>
      <c r="B12" s="2">
        <f>'Step 2'!F9</f>
        <v>0.4</v>
      </c>
      <c r="C12" s="1"/>
      <c r="D12" s="1"/>
      <c r="E12" s="1" t="s">
        <v>48</v>
      </c>
      <c r="F12" s="3">
        <f>B17/(F9*0.4*0.4*B12)</f>
        <v>39037.297626009298</v>
      </c>
      <c r="G12" s="1"/>
      <c r="H12" s="1"/>
    </row>
    <row r="13" spans="1:11">
      <c r="A13" s="1" t="s">
        <v>49</v>
      </c>
      <c r="B13" s="2">
        <f>'Step 2'!E9</f>
        <v>0.3</v>
      </c>
      <c r="C13" s="1" t="s">
        <v>50</v>
      </c>
      <c r="D13" s="1"/>
      <c r="E13" s="1" t="s">
        <v>51</v>
      </c>
      <c r="F13" s="1">
        <v>3.1</v>
      </c>
      <c r="G13" s="1" t="s">
        <v>42</v>
      </c>
      <c r="H13" s="1"/>
    </row>
    <row r="14" spans="1:11" ht="16.5">
      <c r="A14" s="1" t="s">
        <v>52</v>
      </c>
      <c r="B14" s="19">
        <f>F9</f>
        <v>3.7499999999999999E-2</v>
      </c>
      <c r="C14" s="1" t="s">
        <v>36</v>
      </c>
      <c r="D14" s="1"/>
      <c r="E14" s="1" t="s">
        <v>53</v>
      </c>
      <c r="F14" s="1">
        <v>3000</v>
      </c>
      <c r="G14" s="1"/>
      <c r="H14" s="1"/>
    </row>
    <row r="15" spans="1:11">
      <c r="A15" s="1"/>
      <c r="B15" s="1"/>
      <c r="C15" s="1"/>
      <c r="D15" s="1"/>
      <c r="E15" s="1"/>
      <c r="F15" s="1"/>
      <c r="G15" s="1"/>
      <c r="H15" s="1"/>
    </row>
    <row r="16" spans="1:11" ht="16.5">
      <c r="A16" s="1"/>
      <c r="B16" s="1"/>
      <c r="C16" s="1"/>
      <c r="D16" s="1"/>
      <c r="E16" s="1" t="s">
        <v>54</v>
      </c>
      <c r="F16" s="4">
        <f>F9*B12/B17</f>
        <v>1.6010329556818053E-4</v>
      </c>
      <c r="G16" s="1" t="s">
        <v>36</v>
      </c>
      <c r="H16" s="1"/>
      <c r="I16" s="1" t="s">
        <v>54</v>
      </c>
      <c r="J16" s="4">
        <f>'Step 1'!T16*F9*B12/B17</f>
        <v>1.6010329556818053E-4</v>
      </c>
      <c r="K16" s="1" t="s">
        <v>36</v>
      </c>
    </row>
    <row r="17" spans="1:11" ht="16.5">
      <c r="A17" s="1" t="s">
        <v>55</v>
      </c>
      <c r="B17" s="20">
        <f>B8*0.000001*B9/(B13*F8*0.0001)</f>
        <v>93.689514302422324</v>
      </c>
      <c r="C17" s="1"/>
      <c r="D17" s="1"/>
      <c r="E17" s="1" t="s">
        <v>56</v>
      </c>
      <c r="F17" s="3">
        <f>B10/F16</f>
        <v>5089.3310318617341</v>
      </c>
      <c r="G17" s="1" t="s">
        <v>44</v>
      </c>
      <c r="H17" s="1"/>
      <c r="I17" s="1" t="s">
        <v>56</v>
      </c>
      <c r="J17" s="3">
        <f>'Step 1'!T16*B10/J16</f>
        <v>5089.3310318617341</v>
      </c>
      <c r="K17" s="1" t="s">
        <v>44</v>
      </c>
    </row>
    <row r="18" spans="1:11">
      <c r="A18" s="1"/>
      <c r="B18" s="1"/>
      <c r="C18" s="1"/>
      <c r="D18" s="1"/>
      <c r="E18" s="1" t="s">
        <v>57</v>
      </c>
      <c r="F18" s="4">
        <f>SQRT(4*F16/3.1415)*10/25.4</f>
        <v>5.6211850530689077E-3</v>
      </c>
      <c r="G18" s="1" t="s">
        <v>58</v>
      </c>
      <c r="H18" s="1"/>
      <c r="I18" s="1" t="s">
        <v>57</v>
      </c>
      <c r="J18" s="4">
        <f>SQRT(4*J16/3.1415)*10/25.4</f>
        <v>5.6211850530689077E-3</v>
      </c>
      <c r="K18" s="1" t="s">
        <v>58</v>
      </c>
    </row>
    <row r="19" spans="1:11">
      <c r="A19" s="1"/>
      <c r="B19" s="1"/>
      <c r="C19" s="1"/>
      <c r="D19" s="1"/>
      <c r="E19" s="1"/>
      <c r="F19" s="4">
        <f>F18*2.54</f>
        <v>1.4277810034795026E-2</v>
      </c>
      <c r="G19" s="1" t="s">
        <v>42</v>
      </c>
      <c r="H19" s="1"/>
      <c r="I19" s="1"/>
      <c r="J19" s="4">
        <f>J18*2.54</f>
        <v>1.4277810034795026E-2</v>
      </c>
      <c r="K19" s="1" t="s">
        <v>42</v>
      </c>
    </row>
    <row r="20" spans="1:11">
      <c r="A20" s="1" t="s">
        <v>59</v>
      </c>
      <c r="B20" s="20">
        <f>1000*B8/B17^2</f>
        <v>33.332082141637486</v>
      </c>
      <c r="C20" s="21" t="s">
        <v>60</v>
      </c>
      <c r="D20" s="1"/>
      <c r="E20" s="1"/>
      <c r="F20" s="22">
        <f>F19*10</f>
        <v>0.14277810034795027</v>
      </c>
      <c r="G20" s="1" t="s">
        <v>61</v>
      </c>
      <c r="H20" s="1"/>
      <c r="I20" s="1"/>
      <c r="J20" s="22">
        <f>J19*10</f>
        <v>0.14277810034795027</v>
      </c>
      <c r="K20" s="1" t="s">
        <v>61</v>
      </c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 t="s">
        <v>62</v>
      </c>
      <c r="F22" s="23">
        <f>1000*F10*B17*P8/F16</f>
        <v>0</v>
      </c>
      <c r="G22" s="1" t="s">
        <v>63</v>
      </c>
      <c r="H22" s="1"/>
      <c r="I22" s="1" t="s">
        <v>62</v>
      </c>
      <c r="J22" s="23">
        <f>1000*J10*F17*T8/J16</f>
        <v>0</v>
      </c>
      <c r="K22" s="1" t="s">
        <v>63</v>
      </c>
    </row>
    <row r="23" spans="1:11">
      <c r="A23" s="1"/>
      <c r="B23" s="28"/>
      <c r="C23" s="1"/>
      <c r="D23" s="1"/>
      <c r="E23" s="1"/>
      <c r="F23" s="23">
        <f>F22*(1+75*P9)</f>
        <v>0</v>
      </c>
      <c r="G23" s="1" t="s">
        <v>64</v>
      </c>
      <c r="H23" s="1"/>
      <c r="I23" s="1"/>
      <c r="J23" s="23">
        <f>J22*(1+75*T9)</f>
        <v>0</v>
      </c>
      <c r="K23" s="1" t="s">
        <v>64</v>
      </c>
    </row>
    <row r="24" spans="1:11">
      <c r="A24" s="1" t="s">
        <v>133</v>
      </c>
      <c r="B24" s="1">
        <f>'Step 1'!N13</f>
        <v>0.31583067976927387</v>
      </c>
      <c r="C24" s="1">
        <f>IF('Step 1'!E22="Flyback",'Inductor Worksheet'!B24,B26)</f>
        <v>0.81481867043847245</v>
      </c>
      <c r="D24" s="1"/>
      <c r="E24" s="1"/>
      <c r="F24" s="1"/>
      <c r="G24" s="1"/>
      <c r="H24" s="1"/>
      <c r="I24" s="1"/>
      <c r="J24" s="1"/>
      <c r="K24" s="1"/>
    </row>
    <row r="25" spans="1:11">
      <c r="A25" s="1" t="s">
        <v>134</v>
      </c>
      <c r="B25" s="1">
        <f>'Step 1'!N12</f>
        <v>0.75111946280974395</v>
      </c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>
        <f>SQRT(SUMSQ(B24:B25))</f>
        <v>0.81481867043847245</v>
      </c>
      <c r="C26" s="1"/>
      <c r="D26" s="1"/>
      <c r="E26" s="1" t="s">
        <v>65</v>
      </c>
      <c r="F26" s="22">
        <f>B10^2*F22*0.001</f>
        <v>0</v>
      </c>
      <c r="G26" s="1" t="s">
        <v>66</v>
      </c>
      <c r="H26" s="1"/>
      <c r="I26" s="1" t="s">
        <v>65</v>
      </c>
      <c r="J26" s="22">
        <f>F10^2*J22*0.001</f>
        <v>0</v>
      </c>
      <c r="K26" s="1" t="s">
        <v>66</v>
      </c>
    </row>
    <row r="27" spans="1:11">
      <c r="A27" s="1"/>
      <c r="B27" s="1"/>
      <c r="C27" s="1"/>
      <c r="D27" s="1"/>
      <c r="E27" s="1"/>
      <c r="F27" s="22">
        <f>B10^2*F23/1000</f>
        <v>0</v>
      </c>
      <c r="G27" s="1" t="s">
        <v>67</v>
      </c>
      <c r="H27" s="1"/>
      <c r="I27" s="1"/>
      <c r="J27" s="22">
        <f>F10^2*J23/1000</f>
        <v>0</v>
      </c>
      <c r="K27" s="1" t="s">
        <v>67</v>
      </c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>
      <c r="A29" s="1"/>
      <c r="B29" s="1"/>
      <c r="C29" s="1"/>
      <c r="D29" s="1"/>
      <c r="E29" s="1" t="s">
        <v>68</v>
      </c>
      <c r="F29" s="24">
        <f>-39*LOG(F18/0.005,92)+36</f>
        <v>34.989983932124865</v>
      </c>
      <c r="G29" s="1" t="s">
        <v>69</v>
      </c>
      <c r="H29" s="1"/>
      <c r="I29" s="1" t="s">
        <v>68</v>
      </c>
      <c r="J29" s="24">
        <f>-39*LOG(J18/0.005,92)+36</f>
        <v>34.989983932124865</v>
      </c>
      <c r="K29" s="1" t="s">
        <v>69</v>
      </c>
    </row>
    <row r="30" spans="1:11">
      <c r="A30" s="1"/>
      <c r="B30" s="1"/>
      <c r="C30" s="1"/>
      <c r="D30" s="1"/>
      <c r="E30" s="1"/>
      <c r="F30" s="1"/>
      <c r="G30" s="1"/>
      <c r="H30" s="1"/>
    </row>
    <row r="31" spans="1:11">
      <c r="A31" s="1"/>
      <c r="B31" s="1"/>
      <c r="C31" s="1"/>
      <c r="D31" s="1"/>
      <c r="E31" s="1"/>
      <c r="F31" s="1"/>
      <c r="G31" s="1"/>
      <c r="H31" s="1"/>
    </row>
    <row r="32" spans="1:11">
      <c r="A32" s="1"/>
      <c r="B32" s="1"/>
      <c r="C32" s="1"/>
      <c r="D32" s="1"/>
      <c r="E32" s="1"/>
      <c r="F32" s="1"/>
      <c r="G32" s="1"/>
      <c r="H32" s="1"/>
    </row>
    <row r="33" spans="1:8" ht="15.75">
      <c r="A33" s="1"/>
      <c r="B33" s="1"/>
      <c r="C33" s="1"/>
      <c r="D33" s="1"/>
      <c r="E33" s="1"/>
      <c r="F33" s="14" t="s">
        <v>70</v>
      </c>
      <c r="G33" s="1"/>
      <c r="H33" s="1"/>
    </row>
    <row r="34" spans="1:8">
      <c r="A34" s="1"/>
      <c r="B34" s="1"/>
      <c r="C34" s="1"/>
      <c r="D34" s="1"/>
      <c r="E34" s="1" t="s">
        <v>71</v>
      </c>
      <c r="F34" s="18">
        <v>5</v>
      </c>
      <c r="G34" s="1" t="s">
        <v>38</v>
      </c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 t="s">
        <v>72</v>
      </c>
      <c r="F36" s="25">
        <f>B13*(F34/B9)</f>
        <v>1.0621995192307692</v>
      </c>
      <c r="G36" s="1" t="s">
        <v>50</v>
      </c>
      <c r="H36" s="1"/>
    </row>
    <row r="37" spans="1:8">
      <c r="A37" s="1"/>
      <c r="B37" s="1"/>
      <c r="C37" s="1"/>
      <c r="D37" s="1"/>
      <c r="E37" s="1"/>
      <c r="F37" s="3">
        <f>F36*10000</f>
        <v>10621.995192307691</v>
      </c>
      <c r="G37" s="1" t="s">
        <v>73</v>
      </c>
      <c r="H37" s="1"/>
    </row>
    <row r="38" spans="1:8">
      <c r="A38" s="1"/>
      <c r="B38" s="1"/>
      <c r="C38" s="1"/>
      <c r="D38" s="1"/>
      <c r="E38" s="1"/>
      <c r="F38" s="3">
        <f>F36*1000</f>
        <v>1062.1995192307691</v>
      </c>
      <c r="G38" s="1" t="s">
        <v>74</v>
      </c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 t="s">
        <v>75</v>
      </c>
      <c r="F40" s="4">
        <f>0.5*F36</f>
        <v>0.53109975961538458</v>
      </c>
      <c r="G40" s="1" t="s">
        <v>50</v>
      </c>
      <c r="H40" s="1"/>
    </row>
    <row r="41" spans="1:8">
      <c r="A41" s="1"/>
      <c r="B41" s="1"/>
      <c r="C41" s="1"/>
      <c r="D41" s="1"/>
      <c r="E41" s="1"/>
      <c r="F41" s="3">
        <f>0.5*F37</f>
        <v>5310.9975961538457</v>
      </c>
      <c r="G41" s="1" t="s">
        <v>73</v>
      </c>
      <c r="H41" s="1"/>
    </row>
    <row r="42" spans="1:8">
      <c r="A42" s="1"/>
      <c r="B42" s="1"/>
      <c r="C42" s="1"/>
      <c r="D42" s="1"/>
      <c r="E42" s="1"/>
      <c r="F42" s="3">
        <f>0.5*F38</f>
        <v>531.09975961538453</v>
      </c>
      <c r="G42" s="1" t="s">
        <v>74</v>
      </c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 ht="16.5">
      <c r="A44" s="1"/>
      <c r="B44" s="1"/>
      <c r="C44" s="1"/>
      <c r="D44" s="1"/>
      <c r="E44" s="1" t="s">
        <v>76</v>
      </c>
      <c r="F44" s="18">
        <v>120</v>
      </c>
      <c r="G44" s="1" t="s">
        <v>77</v>
      </c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 t="s">
        <v>78</v>
      </c>
      <c r="F46" s="1">
        <f>F44*F11</f>
        <v>90</v>
      </c>
      <c r="G46" s="1" t="s">
        <v>79</v>
      </c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sheetProtection password="DD03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4"/>
  <sheetViews>
    <sheetView zoomScale="90" zoomScaleNormal="90" workbookViewId="0">
      <selection activeCell="H4" sqref="H4"/>
    </sheetView>
  </sheetViews>
  <sheetFormatPr defaultRowHeight="15"/>
  <sheetData>
    <row r="1" spans="1: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6.25">
      <c r="A2" s="32"/>
      <c r="B2" s="145" t="s">
        <v>162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83"/>
    </row>
    <row r="3" spans="1:15" ht="12.75" customHeight="1">
      <c r="A3" s="3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3"/>
    </row>
    <row r="4" spans="1:15">
      <c r="A4" s="32"/>
      <c r="B4" s="32"/>
      <c r="C4" s="32"/>
      <c r="D4" s="32"/>
      <c r="E4" s="32"/>
      <c r="F4" s="144" t="s">
        <v>152</v>
      </c>
      <c r="G4" s="144"/>
      <c r="H4" s="85">
        <v>100</v>
      </c>
      <c r="I4" s="86" t="s">
        <v>153</v>
      </c>
      <c r="J4" s="32"/>
      <c r="K4" s="32"/>
      <c r="L4" s="32"/>
      <c r="M4" s="32"/>
      <c r="N4" s="32"/>
      <c r="O4" s="32"/>
    </row>
    <row r="5" spans="1:15">
      <c r="A5" s="32"/>
      <c r="B5" s="32"/>
      <c r="C5" s="32"/>
      <c r="D5" s="32"/>
      <c r="E5" s="32"/>
      <c r="F5" s="144" t="s">
        <v>156</v>
      </c>
      <c r="G5" s="144"/>
      <c r="H5" s="85">
        <v>2</v>
      </c>
      <c r="I5" s="86" t="s">
        <v>153</v>
      </c>
      <c r="J5" s="32"/>
      <c r="K5" s="32"/>
      <c r="L5" s="32"/>
      <c r="M5" s="32"/>
      <c r="N5" s="32"/>
      <c r="O5" s="32"/>
    </row>
    <row r="6" spans="1:1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1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1:1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1: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1:1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1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1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  <row r="33" spans="1: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1: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</sheetData>
  <sheetProtection password="DD03" sheet="1" objects="1" scenarios="1"/>
  <mergeCells count="3">
    <mergeCell ref="F4:G4"/>
    <mergeCell ref="F5:G5"/>
    <mergeCell ref="B2:N2"/>
  </mergeCells>
  <dataValidations count="2">
    <dataValidation type="decimal" allowBlank="1" showInputMessage="1" showErrorMessage="1" sqref="H5">
      <formula1>0</formula1>
      <formula2>1000</formula2>
    </dataValidation>
    <dataValidation type="list" allowBlank="1" showInputMessage="1" showErrorMessage="1" sqref="H4">
      <formula1>'TCO Worksheet'!$W$29:$W$35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134"/>
  <sheetViews>
    <sheetView topLeftCell="A112" workbookViewId="0">
      <selection activeCell="R9" sqref="R9:S134"/>
    </sheetView>
  </sheetViews>
  <sheetFormatPr defaultRowHeight="15"/>
  <cols>
    <col min="1" max="20" width="9.140625" style="1"/>
    <col min="21" max="21" width="10.42578125" style="1" customWidth="1"/>
    <col min="22" max="16384" width="9.140625" style="1"/>
  </cols>
  <sheetData>
    <row r="1" spans="1:21" ht="28.5" customHeight="1">
      <c r="A1" s="146" t="s">
        <v>151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87"/>
      <c r="N1" s="87"/>
      <c r="O1" s="87"/>
      <c r="P1" s="87"/>
      <c r="Q1" s="87"/>
      <c r="R1" s="87"/>
      <c r="S1" s="87"/>
    </row>
    <row r="4" spans="1:21">
      <c r="C4" s="147" t="s">
        <v>152</v>
      </c>
      <c r="D4" s="147"/>
      <c r="E4" s="46">
        <f>'Step 3'!H4</f>
        <v>100</v>
      </c>
      <c r="F4" s="46" t="s">
        <v>153</v>
      </c>
      <c r="G4" s="88"/>
      <c r="H4" s="88"/>
      <c r="I4" s="88"/>
      <c r="J4" s="88"/>
      <c r="K4" s="88"/>
    </row>
    <row r="5" spans="1:21">
      <c r="C5" s="147" t="s">
        <v>154</v>
      </c>
      <c r="D5" s="147"/>
      <c r="E5" s="46">
        <f>85</f>
        <v>85</v>
      </c>
      <c r="F5" s="81" t="s">
        <v>155</v>
      </c>
      <c r="G5" s="89"/>
      <c r="H5" s="89"/>
      <c r="I5" s="89"/>
      <c r="J5" s="89"/>
      <c r="K5" s="89"/>
    </row>
    <row r="6" spans="1:21">
      <c r="C6" s="147" t="s">
        <v>156</v>
      </c>
      <c r="D6" s="147"/>
      <c r="E6" s="46">
        <f>'Step 3'!H5</f>
        <v>2</v>
      </c>
      <c r="F6" s="46" t="s">
        <v>153</v>
      </c>
      <c r="G6" s="88"/>
      <c r="H6" s="88"/>
      <c r="I6" s="88"/>
      <c r="J6" s="88">
        <v>80</v>
      </c>
      <c r="K6" s="88">
        <v>85</v>
      </c>
      <c r="L6" s="1">
        <v>90</v>
      </c>
    </row>
    <row r="7" spans="1:21">
      <c r="J7" s="148" t="s">
        <v>159</v>
      </c>
      <c r="K7" s="148"/>
      <c r="L7" s="148"/>
    </row>
    <row r="8" spans="1:21">
      <c r="C8" s="1" t="s">
        <v>157</v>
      </c>
      <c r="D8" s="1" t="s">
        <v>158</v>
      </c>
      <c r="E8" s="1" t="str">
        <f>C8</f>
        <v>Temp</v>
      </c>
      <c r="F8" s="1" t="s">
        <v>159</v>
      </c>
      <c r="H8" s="1" t="s">
        <v>157</v>
      </c>
      <c r="I8" s="1" t="s">
        <v>158</v>
      </c>
      <c r="J8" s="1" t="s">
        <v>163</v>
      </c>
      <c r="K8" s="1" t="s">
        <v>164</v>
      </c>
      <c r="L8" s="1" t="s">
        <v>165</v>
      </c>
      <c r="P8" s="1" t="str">
        <f>H8</f>
        <v>Temp</v>
      </c>
      <c r="Q8" s="1" t="s">
        <v>163</v>
      </c>
      <c r="R8" s="1" t="s">
        <v>164</v>
      </c>
      <c r="S8" s="1" t="s">
        <v>165</v>
      </c>
      <c r="T8" s="1" t="str">
        <f>E8</f>
        <v>Temp</v>
      </c>
      <c r="U8" s="1" t="s">
        <v>160</v>
      </c>
    </row>
    <row r="9" spans="1:21">
      <c r="C9" s="1">
        <v>25</v>
      </c>
      <c r="D9" s="1">
        <v>1</v>
      </c>
      <c r="E9" s="1">
        <f t="shared" ref="E9:E34" si="0">C9</f>
        <v>25</v>
      </c>
      <c r="F9" s="1">
        <f>IF((0.001*$E$5*(D9*($E$4+$E$6)))&gt;1,1,(0.001*$E$5*(D9*($E$4+$E$6))))</f>
        <v>1</v>
      </c>
      <c r="H9" s="1">
        <v>25</v>
      </c>
      <c r="I9" s="1">
        <v>1</v>
      </c>
      <c r="J9" s="1">
        <f>IF((0.001*J$6*(($I9*$E$4)+$E$6))&gt;1,1,(0.001*J$6*(($I9*$E$4)+$E$6)))</f>
        <v>1</v>
      </c>
      <c r="K9" s="1">
        <f t="shared" ref="K9:L24" si="1">IF((0.001*K$6*(($I9*$E$4)+$E$6))&gt;1,1,(0.001*K$6*(($I9*$E$4)+$E$6)))</f>
        <v>1</v>
      </c>
      <c r="L9" s="1">
        <f t="shared" si="1"/>
        <v>1</v>
      </c>
      <c r="M9" s="1">
        <f>IF(J9&gt;0.68,1.563*J9-0.563,0.5)</f>
        <v>1</v>
      </c>
      <c r="N9" s="1">
        <f t="shared" ref="N9:O24" si="2">IF(K9&gt;0.68,1.563*K9-0.563,0.5)</f>
        <v>1</v>
      </c>
      <c r="O9" s="1">
        <f t="shared" si="2"/>
        <v>1</v>
      </c>
      <c r="P9" s="1">
        <f t="shared" ref="P9:P72" si="3">H9</f>
        <v>25</v>
      </c>
      <c r="Q9" s="1">
        <f>IF(J9&gt;0.5,M9,0)</f>
        <v>1</v>
      </c>
      <c r="R9" s="90">
        <f t="shared" ref="R9:R72" si="4">IF(K9&gt;0.5,N9,0)</f>
        <v>1</v>
      </c>
      <c r="S9" s="90">
        <f t="shared" ref="S9:S72" si="5">IF(L9&gt;0.5,O9,0)</f>
        <v>1</v>
      </c>
      <c r="T9" s="1">
        <f t="shared" ref="T9:T34" si="6">E9</f>
        <v>25</v>
      </c>
      <c r="U9" s="82">
        <f>IF((F9*1.563)-0.563&lt;0.5,0,(F9*1.563)-0.563)</f>
        <v>1</v>
      </c>
    </row>
    <row r="10" spans="1:21">
      <c r="C10" s="1">
        <f t="shared" ref="C10:C34" si="7">+C9+5</f>
        <v>30</v>
      </c>
      <c r="D10" s="1">
        <v>0.82955000000000001</v>
      </c>
      <c r="E10" s="1">
        <f t="shared" si="0"/>
        <v>30</v>
      </c>
      <c r="F10" s="1">
        <f t="shared" ref="F10:F34" si="8">IF((0.001*$E$5*((D10*$E$4)+$E$6))&gt;1,1,(0.001*$E$5*((D10*$E$4)+$E$6)))</f>
        <v>1</v>
      </c>
      <c r="H10" s="1">
        <f>H9+1</f>
        <v>26</v>
      </c>
      <c r="I10" s="1">
        <f>I9+0.2*(I14-I9)</f>
        <v>0.96591000000000005</v>
      </c>
      <c r="J10" s="1">
        <f t="shared" ref="J10:L73" si="9">IF((0.001*J$6*(($I10*$E$4)+$E$6))&gt;1,1,(0.001*J$6*(($I10*$E$4)+$E$6)))</f>
        <v>1</v>
      </c>
      <c r="K10" s="1">
        <f t="shared" si="1"/>
        <v>1</v>
      </c>
      <c r="L10" s="1">
        <f t="shared" si="1"/>
        <v>1</v>
      </c>
      <c r="M10" s="1">
        <f t="shared" ref="M10:M73" si="10">IF(J10&gt;0.68,1.563*J10-0.563,0.5)</f>
        <v>1</v>
      </c>
      <c r="N10" s="1">
        <f t="shared" si="2"/>
        <v>1</v>
      </c>
      <c r="O10" s="1">
        <f t="shared" si="2"/>
        <v>1</v>
      </c>
      <c r="P10" s="1">
        <f t="shared" si="3"/>
        <v>26</v>
      </c>
      <c r="Q10" s="90">
        <f t="shared" ref="Q10:Q73" si="11">IF(J10&gt;0.5,M10,0)</f>
        <v>1</v>
      </c>
      <c r="R10" s="90">
        <f t="shared" si="4"/>
        <v>1</v>
      </c>
      <c r="S10" s="90">
        <f t="shared" si="5"/>
        <v>1</v>
      </c>
      <c r="T10" s="1">
        <f t="shared" si="6"/>
        <v>30</v>
      </c>
      <c r="U10" s="82">
        <f t="shared" ref="U10:U34" si="12">IF((F10*1.563)-0.563&lt;0.5,0,(F10*1.563)-0.563)</f>
        <v>1</v>
      </c>
    </row>
    <row r="11" spans="1:21">
      <c r="C11" s="1">
        <f t="shared" si="7"/>
        <v>35</v>
      </c>
      <c r="D11" s="1">
        <v>0.69177999999999995</v>
      </c>
      <c r="E11" s="1">
        <f t="shared" si="0"/>
        <v>35</v>
      </c>
      <c r="F11" s="1">
        <f t="shared" si="8"/>
        <v>1</v>
      </c>
      <c r="H11" s="1">
        <f t="shared" ref="H11:H74" si="13">H10+1</f>
        <v>27</v>
      </c>
      <c r="I11" s="1">
        <f>I9+0.4*(I14-I9)</f>
        <v>0.93181999999999998</v>
      </c>
      <c r="J11" s="1">
        <f t="shared" si="9"/>
        <v>1</v>
      </c>
      <c r="K11" s="1">
        <f t="shared" si="1"/>
        <v>1</v>
      </c>
      <c r="L11" s="1">
        <f t="shared" si="1"/>
        <v>1</v>
      </c>
      <c r="M11" s="1">
        <f t="shared" si="10"/>
        <v>1</v>
      </c>
      <c r="N11" s="1">
        <f t="shared" si="2"/>
        <v>1</v>
      </c>
      <c r="O11" s="1">
        <f t="shared" si="2"/>
        <v>1</v>
      </c>
      <c r="P11" s="1">
        <f t="shared" si="3"/>
        <v>27</v>
      </c>
      <c r="Q11" s="90">
        <f t="shared" si="11"/>
        <v>1</v>
      </c>
      <c r="R11" s="90">
        <f t="shared" si="4"/>
        <v>1</v>
      </c>
      <c r="S11" s="90">
        <f t="shared" si="5"/>
        <v>1</v>
      </c>
      <c r="T11" s="1">
        <f t="shared" si="6"/>
        <v>35</v>
      </c>
      <c r="U11" s="82">
        <f t="shared" si="12"/>
        <v>1</v>
      </c>
    </row>
    <row r="12" spans="1:21">
      <c r="C12" s="1">
        <f t="shared" si="7"/>
        <v>40</v>
      </c>
      <c r="D12" s="1">
        <v>0.57981000000000005</v>
      </c>
      <c r="E12" s="1">
        <f t="shared" si="0"/>
        <v>40</v>
      </c>
      <c r="F12" s="1">
        <f t="shared" si="8"/>
        <v>1</v>
      </c>
      <c r="H12" s="1">
        <f t="shared" si="13"/>
        <v>28</v>
      </c>
      <c r="I12" s="1">
        <f>I9+0.6*(I14-I9)</f>
        <v>0.89773000000000003</v>
      </c>
      <c r="J12" s="1">
        <f t="shared" si="9"/>
        <v>1</v>
      </c>
      <c r="K12" s="1">
        <f t="shared" si="1"/>
        <v>1</v>
      </c>
      <c r="L12" s="1">
        <f t="shared" si="1"/>
        <v>1</v>
      </c>
      <c r="M12" s="1">
        <f t="shared" si="10"/>
        <v>1</v>
      </c>
      <c r="N12" s="1">
        <f t="shared" si="2"/>
        <v>1</v>
      </c>
      <c r="O12" s="1">
        <f t="shared" si="2"/>
        <v>1</v>
      </c>
      <c r="P12" s="1">
        <f t="shared" si="3"/>
        <v>28</v>
      </c>
      <c r="Q12" s="90">
        <f t="shared" si="11"/>
        <v>1</v>
      </c>
      <c r="R12" s="90">
        <f t="shared" si="4"/>
        <v>1</v>
      </c>
      <c r="S12" s="90">
        <f t="shared" si="5"/>
        <v>1</v>
      </c>
      <c r="T12" s="1">
        <f t="shared" si="6"/>
        <v>40</v>
      </c>
      <c r="U12" s="82">
        <f t="shared" si="12"/>
        <v>1</v>
      </c>
    </row>
    <row r="13" spans="1:21">
      <c r="C13" s="1">
        <f t="shared" si="7"/>
        <v>45</v>
      </c>
      <c r="D13" s="1">
        <v>0.48834</v>
      </c>
      <c r="E13" s="1">
        <f t="shared" si="0"/>
        <v>45</v>
      </c>
      <c r="F13" s="1">
        <f t="shared" si="8"/>
        <v>1</v>
      </c>
      <c r="H13" s="1">
        <f t="shared" si="13"/>
        <v>29</v>
      </c>
      <c r="I13" s="1">
        <f>I9+0.8*(I14-I9)</f>
        <v>0.86363999999999996</v>
      </c>
      <c r="J13" s="1">
        <f t="shared" si="9"/>
        <v>1</v>
      </c>
      <c r="K13" s="1">
        <f t="shared" si="1"/>
        <v>1</v>
      </c>
      <c r="L13" s="1">
        <f t="shared" si="1"/>
        <v>1</v>
      </c>
      <c r="M13" s="1">
        <f t="shared" si="10"/>
        <v>1</v>
      </c>
      <c r="N13" s="1">
        <f t="shared" si="2"/>
        <v>1</v>
      </c>
      <c r="O13" s="1">
        <f t="shared" si="2"/>
        <v>1</v>
      </c>
      <c r="P13" s="1">
        <f t="shared" si="3"/>
        <v>29</v>
      </c>
      <c r="Q13" s="90">
        <f t="shared" si="11"/>
        <v>1</v>
      </c>
      <c r="R13" s="90">
        <f t="shared" si="4"/>
        <v>1</v>
      </c>
      <c r="S13" s="90">
        <f t="shared" si="5"/>
        <v>1</v>
      </c>
      <c r="T13" s="1">
        <f t="shared" si="6"/>
        <v>45</v>
      </c>
      <c r="U13" s="82">
        <f t="shared" si="12"/>
        <v>1</v>
      </c>
    </row>
    <row r="14" spans="1:21">
      <c r="C14" s="1">
        <f t="shared" si="7"/>
        <v>50</v>
      </c>
      <c r="D14" s="1">
        <v>0.41321999999999998</v>
      </c>
      <c r="E14" s="1">
        <f t="shared" si="0"/>
        <v>50</v>
      </c>
      <c r="F14" s="1">
        <f t="shared" si="8"/>
        <v>1</v>
      </c>
      <c r="H14" s="1">
        <f t="shared" si="13"/>
        <v>30</v>
      </c>
      <c r="I14" s="1">
        <v>0.82955000000000001</v>
      </c>
      <c r="J14" s="1">
        <f t="shared" si="9"/>
        <v>1</v>
      </c>
      <c r="K14" s="1">
        <f t="shared" si="1"/>
        <v>1</v>
      </c>
      <c r="L14" s="1">
        <f t="shared" si="1"/>
        <v>1</v>
      </c>
      <c r="M14" s="1">
        <f t="shared" si="10"/>
        <v>1</v>
      </c>
      <c r="N14" s="1">
        <f t="shared" si="2"/>
        <v>1</v>
      </c>
      <c r="O14" s="1">
        <f t="shared" si="2"/>
        <v>1</v>
      </c>
      <c r="P14" s="1">
        <f t="shared" si="3"/>
        <v>30</v>
      </c>
      <c r="Q14" s="90">
        <f t="shared" si="11"/>
        <v>1</v>
      </c>
      <c r="R14" s="90">
        <f t="shared" si="4"/>
        <v>1</v>
      </c>
      <c r="S14" s="90">
        <f t="shared" si="5"/>
        <v>1</v>
      </c>
      <c r="T14" s="1">
        <f t="shared" si="6"/>
        <v>50</v>
      </c>
      <c r="U14" s="82">
        <f t="shared" si="12"/>
        <v>1</v>
      </c>
    </row>
    <row r="15" spans="1:21">
      <c r="C15" s="1">
        <f t="shared" si="7"/>
        <v>55</v>
      </c>
      <c r="D15" s="1">
        <v>0.35124</v>
      </c>
      <c r="E15" s="1">
        <f t="shared" si="0"/>
        <v>55</v>
      </c>
      <c r="F15" s="1">
        <f t="shared" si="8"/>
        <v>1</v>
      </c>
      <c r="H15" s="1">
        <f t="shared" si="13"/>
        <v>31</v>
      </c>
      <c r="I15" s="1">
        <f>I14+0.2*(I19-I14)</f>
        <v>0.80199600000000004</v>
      </c>
      <c r="J15" s="1">
        <f t="shared" si="9"/>
        <v>1</v>
      </c>
      <c r="K15" s="1">
        <f t="shared" si="1"/>
        <v>1</v>
      </c>
      <c r="L15" s="1">
        <f t="shared" si="1"/>
        <v>1</v>
      </c>
      <c r="M15" s="1">
        <f t="shared" si="10"/>
        <v>1</v>
      </c>
      <c r="N15" s="1">
        <f t="shared" si="2"/>
        <v>1</v>
      </c>
      <c r="O15" s="1">
        <f t="shared" si="2"/>
        <v>1</v>
      </c>
      <c r="P15" s="1">
        <f t="shared" si="3"/>
        <v>31</v>
      </c>
      <c r="Q15" s="90">
        <f t="shared" si="11"/>
        <v>1</v>
      </c>
      <c r="R15" s="90">
        <f t="shared" si="4"/>
        <v>1</v>
      </c>
      <c r="S15" s="90">
        <f t="shared" si="5"/>
        <v>1</v>
      </c>
      <c r="T15" s="1">
        <f t="shared" si="6"/>
        <v>55</v>
      </c>
      <c r="U15" s="82">
        <f t="shared" si="12"/>
        <v>1</v>
      </c>
    </row>
    <row r="16" spans="1:21">
      <c r="C16" s="1">
        <f t="shared" si="7"/>
        <v>60</v>
      </c>
      <c r="D16" s="1">
        <v>0.29984</v>
      </c>
      <c r="E16" s="1">
        <f t="shared" si="0"/>
        <v>60</v>
      </c>
      <c r="F16" s="1">
        <f t="shared" si="8"/>
        <v>1</v>
      </c>
      <c r="H16" s="1">
        <f t="shared" si="13"/>
        <v>32</v>
      </c>
      <c r="I16" s="1">
        <f>I14+0.4*(I19-I14)</f>
        <v>0.77444199999999996</v>
      </c>
      <c r="J16" s="1">
        <f t="shared" si="9"/>
        <v>1</v>
      </c>
      <c r="K16" s="1">
        <f t="shared" si="1"/>
        <v>1</v>
      </c>
      <c r="L16" s="1">
        <f t="shared" si="1"/>
        <v>1</v>
      </c>
      <c r="M16" s="1">
        <f t="shared" si="10"/>
        <v>1</v>
      </c>
      <c r="N16" s="1">
        <f t="shared" si="2"/>
        <v>1</v>
      </c>
      <c r="O16" s="1">
        <f t="shared" si="2"/>
        <v>1</v>
      </c>
      <c r="P16" s="1">
        <f t="shared" si="3"/>
        <v>32</v>
      </c>
      <c r="Q16" s="90">
        <f t="shared" si="11"/>
        <v>1</v>
      </c>
      <c r="R16" s="90">
        <f t="shared" si="4"/>
        <v>1</v>
      </c>
      <c r="S16" s="90">
        <f t="shared" si="5"/>
        <v>1</v>
      </c>
      <c r="T16" s="1">
        <f t="shared" si="6"/>
        <v>60</v>
      </c>
      <c r="U16" s="82">
        <f t="shared" si="12"/>
        <v>1</v>
      </c>
    </row>
    <row r="17" spans="3:24">
      <c r="C17" s="1">
        <f t="shared" si="7"/>
        <v>65</v>
      </c>
      <c r="D17" s="1">
        <v>0.25703999999999999</v>
      </c>
      <c r="E17" s="1">
        <f t="shared" si="0"/>
        <v>65</v>
      </c>
      <c r="F17" s="1">
        <f t="shared" si="8"/>
        <v>1</v>
      </c>
      <c r="H17" s="1">
        <f t="shared" si="13"/>
        <v>33</v>
      </c>
      <c r="I17" s="1">
        <f>I14+0.6*(I19-I14)</f>
        <v>0.746888</v>
      </c>
      <c r="J17" s="1">
        <f t="shared" si="9"/>
        <v>1</v>
      </c>
      <c r="K17" s="1">
        <f t="shared" si="1"/>
        <v>1</v>
      </c>
      <c r="L17" s="1">
        <f t="shared" si="1"/>
        <v>1</v>
      </c>
      <c r="M17" s="1">
        <f t="shared" si="10"/>
        <v>1</v>
      </c>
      <c r="N17" s="1">
        <f t="shared" si="2"/>
        <v>1</v>
      </c>
      <c r="O17" s="1">
        <f t="shared" si="2"/>
        <v>1</v>
      </c>
      <c r="P17" s="1">
        <f t="shared" si="3"/>
        <v>33</v>
      </c>
      <c r="Q17" s="90">
        <f t="shared" si="11"/>
        <v>1</v>
      </c>
      <c r="R17" s="90">
        <f t="shared" si="4"/>
        <v>1</v>
      </c>
      <c r="S17" s="90">
        <f t="shared" si="5"/>
        <v>1</v>
      </c>
      <c r="T17" s="1">
        <f t="shared" si="6"/>
        <v>65</v>
      </c>
      <c r="U17" s="82">
        <f t="shared" si="12"/>
        <v>1</v>
      </c>
    </row>
    <row r="18" spans="3:24">
      <c r="C18" s="1">
        <f t="shared" si="7"/>
        <v>70</v>
      </c>
      <c r="D18" s="1">
        <v>0.22123000000000001</v>
      </c>
      <c r="E18" s="1">
        <f t="shared" si="0"/>
        <v>70</v>
      </c>
      <c r="F18" s="1">
        <f t="shared" si="8"/>
        <v>1</v>
      </c>
      <c r="H18" s="1">
        <f t="shared" si="13"/>
        <v>34</v>
      </c>
      <c r="I18" s="1">
        <f>I14+0.8*(I19-I14)</f>
        <v>0.71933399999999992</v>
      </c>
      <c r="J18" s="1">
        <f t="shared" si="9"/>
        <v>1</v>
      </c>
      <c r="K18" s="1">
        <f t="shared" si="1"/>
        <v>1</v>
      </c>
      <c r="L18" s="1">
        <f t="shared" si="1"/>
        <v>1</v>
      </c>
      <c r="M18" s="1">
        <f t="shared" si="10"/>
        <v>1</v>
      </c>
      <c r="N18" s="1">
        <f t="shared" si="2"/>
        <v>1</v>
      </c>
      <c r="O18" s="1">
        <f t="shared" si="2"/>
        <v>1</v>
      </c>
      <c r="P18" s="1">
        <f t="shared" si="3"/>
        <v>34</v>
      </c>
      <c r="Q18" s="90">
        <f t="shared" si="11"/>
        <v>1</v>
      </c>
      <c r="R18" s="90">
        <f t="shared" si="4"/>
        <v>1</v>
      </c>
      <c r="S18" s="90">
        <f t="shared" si="5"/>
        <v>1</v>
      </c>
      <c r="T18" s="1">
        <f t="shared" si="6"/>
        <v>70</v>
      </c>
      <c r="U18" s="82">
        <f t="shared" si="12"/>
        <v>1</v>
      </c>
    </row>
    <row r="19" spans="3:24">
      <c r="C19" s="1">
        <f t="shared" si="7"/>
        <v>75</v>
      </c>
      <c r="D19" s="1">
        <v>0.19114</v>
      </c>
      <c r="E19" s="1">
        <f t="shared" si="0"/>
        <v>75</v>
      </c>
      <c r="F19" s="1">
        <f t="shared" si="8"/>
        <v>1</v>
      </c>
      <c r="H19" s="1">
        <f t="shared" si="13"/>
        <v>35</v>
      </c>
      <c r="I19" s="1">
        <v>0.69177999999999995</v>
      </c>
      <c r="J19" s="1">
        <f t="shared" si="9"/>
        <v>1</v>
      </c>
      <c r="K19" s="1">
        <f t="shared" si="1"/>
        <v>1</v>
      </c>
      <c r="L19" s="1">
        <f t="shared" si="1"/>
        <v>1</v>
      </c>
      <c r="M19" s="1">
        <f t="shared" si="10"/>
        <v>1</v>
      </c>
      <c r="N19" s="1">
        <f t="shared" si="2"/>
        <v>1</v>
      </c>
      <c r="O19" s="1">
        <f t="shared" si="2"/>
        <v>1</v>
      </c>
      <c r="P19" s="1">
        <f t="shared" si="3"/>
        <v>35</v>
      </c>
      <c r="Q19" s="90">
        <f t="shared" si="11"/>
        <v>1</v>
      </c>
      <c r="R19" s="90">
        <f t="shared" si="4"/>
        <v>1</v>
      </c>
      <c r="S19" s="90">
        <f t="shared" si="5"/>
        <v>1</v>
      </c>
      <c r="T19" s="1">
        <f t="shared" si="6"/>
        <v>75</v>
      </c>
      <c r="U19" s="82">
        <f t="shared" si="12"/>
        <v>1</v>
      </c>
    </row>
    <row r="20" spans="3:24">
      <c r="C20" s="1">
        <f t="shared" si="7"/>
        <v>80</v>
      </c>
      <c r="D20" s="1">
        <v>0.16577</v>
      </c>
      <c r="E20" s="1">
        <f t="shared" si="0"/>
        <v>80</v>
      </c>
      <c r="F20" s="1">
        <f t="shared" si="8"/>
        <v>1</v>
      </c>
      <c r="H20" s="1">
        <f t="shared" si="13"/>
        <v>36</v>
      </c>
      <c r="I20" s="1">
        <f>I19+0.2*(I24-I19)</f>
        <v>0.66938599999999993</v>
      </c>
      <c r="J20" s="1">
        <f t="shared" si="9"/>
        <v>1</v>
      </c>
      <c r="K20" s="1">
        <f t="shared" si="1"/>
        <v>1</v>
      </c>
      <c r="L20" s="1">
        <f t="shared" si="1"/>
        <v>1</v>
      </c>
      <c r="M20" s="1">
        <f t="shared" si="10"/>
        <v>1</v>
      </c>
      <c r="N20" s="1">
        <f t="shared" si="2"/>
        <v>1</v>
      </c>
      <c r="O20" s="1">
        <f t="shared" si="2"/>
        <v>1</v>
      </c>
      <c r="P20" s="1">
        <f t="shared" si="3"/>
        <v>36</v>
      </c>
      <c r="Q20" s="90">
        <f t="shared" si="11"/>
        <v>1</v>
      </c>
      <c r="R20" s="90">
        <f t="shared" si="4"/>
        <v>1</v>
      </c>
      <c r="S20" s="90">
        <f t="shared" si="5"/>
        <v>1</v>
      </c>
      <c r="T20" s="1">
        <f t="shared" si="6"/>
        <v>80</v>
      </c>
      <c r="U20" s="82">
        <f t="shared" si="12"/>
        <v>1</v>
      </c>
    </row>
    <row r="21" spans="3:24">
      <c r="C21" s="1">
        <f t="shared" si="7"/>
        <v>85</v>
      </c>
      <c r="D21" s="1">
        <v>0.14427000000000001</v>
      </c>
      <c r="E21" s="1">
        <f t="shared" si="0"/>
        <v>85</v>
      </c>
      <c r="F21" s="1">
        <f t="shared" si="8"/>
        <v>1</v>
      </c>
      <c r="H21" s="1">
        <f t="shared" si="13"/>
        <v>37</v>
      </c>
      <c r="I21" s="1">
        <f>I19+0.4*(I24-I19)</f>
        <v>0.64699200000000001</v>
      </c>
      <c r="J21" s="1">
        <f t="shared" si="9"/>
        <v>1</v>
      </c>
      <c r="K21" s="1">
        <f t="shared" si="1"/>
        <v>1</v>
      </c>
      <c r="L21" s="1">
        <f t="shared" si="1"/>
        <v>1</v>
      </c>
      <c r="M21" s="1">
        <f t="shared" si="10"/>
        <v>1</v>
      </c>
      <c r="N21" s="1">
        <f t="shared" si="2"/>
        <v>1</v>
      </c>
      <c r="O21" s="1">
        <f t="shared" si="2"/>
        <v>1</v>
      </c>
      <c r="P21" s="1">
        <f t="shared" si="3"/>
        <v>37</v>
      </c>
      <c r="Q21" s="90">
        <f t="shared" si="11"/>
        <v>1</v>
      </c>
      <c r="R21" s="90">
        <f t="shared" si="4"/>
        <v>1</v>
      </c>
      <c r="S21" s="90">
        <f t="shared" si="5"/>
        <v>1</v>
      </c>
      <c r="T21" s="1">
        <f t="shared" si="6"/>
        <v>85</v>
      </c>
      <c r="U21" s="82">
        <f t="shared" si="12"/>
        <v>1</v>
      </c>
    </row>
    <row r="22" spans="3:24">
      <c r="C22" s="1">
        <f t="shared" si="7"/>
        <v>90</v>
      </c>
      <c r="D22" s="1">
        <v>0.126</v>
      </c>
      <c r="E22" s="1">
        <f t="shared" si="0"/>
        <v>90</v>
      </c>
      <c r="F22" s="1">
        <f t="shared" si="8"/>
        <v>1</v>
      </c>
      <c r="H22" s="1">
        <f t="shared" si="13"/>
        <v>38</v>
      </c>
      <c r="I22" s="1">
        <f>I19+0.6*(I24-I19)</f>
        <v>0.62459799999999999</v>
      </c>
      <c r="J22" s="1">
        <f t="shared" si="9"/>
        <v>1</v>
      </c>
      <c r="K22" s="1">
        <f t="shared" si="1"/>
        <v>1</v>
      </c>
      <c r="L22" s="1">
        <f t="shared" si="1"/>
        <v>1</v>
      </c>
      <c r="M22" s="1">
        <f t="shared" si="10"/>
        <v>1</v>
      </c>
      <c r="N22" s="1">
        <f t="shared" si="2"/>
        <v>1</v>
      </c>
      <c r="O22" s="1">
        <f t="shared" si="2"/>
        <v>1</v>
      </c>
      <c r="P22" s="1">
        <f t="shared" si="3"/>
        <v>38</v>
      </c>
      <c r="Q22" s="90">
        <f t="shared" si="11"/>
        <v>1</v>
      </c>
      <c r="R22" s="90">
        <f t="shared" si="4"/>
        <v>1</v>
      </c>
      <c r="S22" s="90">
        <f t="shared" si="5"/>
        <v>1</v>
      </c>
      <c r="T22" s="1">
        <f t="shared" si="6"/>
        <v>90</v>
      </c>
      <c r="U22" s="82">
        <f t="shared" si="12"/>
        <v>1</v>
      </c>
    </row>
    <row r="23" spans="3:24">
      <c r="C23" s="1">
        <f t="shared" si="7"/>
        <v>95</v>
      </c>
      <c r="D23" s="1">
        <v>0.11040999999999999</v>
      </c>
      <c r="E23" s="1">
        <f t="shared" si="0"/>
        <v>95</v>
      </c>
      <c r="F23" s="1">
        <f t="shared" si="8"/>
        <v>1</v>
      </c>
      <c r="H23" s="1">
        <f t="shared" si="13"/>
        <v>39</v>
      </c>
      <c r="I23" s="1">
        <f>I19+0.8*(I24-I19)</f>
        <v>0.60220399999999996</v>
      </c>
      <c r="J23" s="1">
        <f t="shared" si="9"/>
        <v>1</v>
      </c>
      <c r="K23" s="1">
        <f t="shared" si="1"/>
        <v>1</v>
      </c>
      <c r="L23" s="1">
        <f t="shared" si="1"/>
        <v>1</v>
      </c>
      <c r="M23" s="1">
        <f t="shared" si="10"/>
        <v>1</v>
      </c>
      <c r="N23" s="1">
        <f t="shared" si="2"/>
        <v>1</v>
      </c>
      <c r="O23" s="1">
        <f t="shared" si="2"/>
        <v>1</v>
      </c>
      <c r="P23" s="1">
        <f t="shared" si="3"/>
        <v>39</v>
      </c>
      <c r="Q23" s="90">
        <f t="shared" si="11"/>
        <v>1</v>
      </c>
      <c r="R23" s="90">
        <f t="shared" si="4"/>
        <v>1</v>
      </c>
      <c r="S23" s="90">
        <f t="shared" si="5"/>
        <v>1</v>
      </c>
      <c r="T23" s="1">
        <f t="shared" si="6"/>
        <v>95</v>
      </c>
      <c r="U23" s="82">
        <f t="shared" si="12"/>
        <v>1</v>
      </c>
    </row>
    <row r="24" spans="3:24">
      <c r="C24" s="1">
        <f t="shared" si="7"/>
        <v>100</v>
      </c>
      <c r="D24" s="1">
        <v>9.7066E-2</v>
      </c>
      <c r="E24" s="1">
        <f t="shared" si="0"/>
        <v>100</v>
      </c>
      <c r="F24" s="1">
        <f t="shared" si="8"/>
        <v>0.99506100000000008</v>
      </c>
      <c r="H24" s="1">
        <f t="shared" si="13"/>
        <v>40</v>
      </c>
      <c r="I24" s="1">
        <v>0.57981000000000005</v>
      </c>
      <c r="J24" s="1">
        <f t="shared" si="9"/>
        <v>1</v>
      </c>
      <c r="K24" s="1">
        <f t="shared" si="1"/>
        <v>1</v>
      </c>
      <c r="L24" s="1">
        <f t="shared" si="1"/>
        <v>1</v>
      </c>
      <c r="M24" s="1">
        <f t="shared" si="10"/>
        <v>1</v>
      </c>
      <c r="N24" s="1">
        <f t="shared" si="2"/>
        <v>1</v>
      </c>
      <c r="O24" s="1">
        <f t="shared" si="2"/>
        <v>1</v>
      </c>
      <c r="P24" s="1">
        <f t="shared" si="3"/>
        <v>40</v>
      </c>
      <c r="Q24" s="90">
        <f t="shared" si="11"/>
        <v>1</v>
      </c>
      <c r="R24" s="90">
        <f t="shared" si="4"/>
        <v>1</v>
      </c>
      <c r="S24" s="90">
        <f t="shared" si="5"/>
        <v>1</v>
      </c>
      <c r="T24" s="1">
        <f t="shared" si="6"/>
        <v>100</v>
      </c>
      <c r="U24" s="82">
        <f t="shared" si="12"/>
        <v>0.99228034300000023</v>
      </c>
    </row>
    <row r="25" spans="3:24">
      <c r="C25" s="1">
        <f t="shared" si="7"/>
        <v>105</v>
      </c>
      <c r="D25" s="1">
        <v>8.5597000000000006E-2</v>
      </c>
      <c r="E25" s="1">
        <f t="shared" si="0"/>
        <v>105</v>
      </c>
      <c r="F25" s="1">
        <f t="shared" si="8"/>
        <v>0.89757450000000016</v>
      </c>
      <c r="H25" s="1">
        <f t="shared" si="13"/>
        <v>41</v>
      </c>
      <c r="I25" s="1">
        <f>I24+0.2*(I29-I24)</f>
        <v>0.56151600000000002</v>
      </c>
      <c r="J25" s="1">
        <f t="shared" si="9"/>
        <v>1</v>
      </c>
      <c r="K25" s="1">
        <f t="shared" si="9"/>
        <v>1</v>
      </c>
      <c r="L25" s="1">
        <f t="shared" si="9"/>
        <v>1</v>
      </c>
      <c r="M25" s="1">
        <f t="shared" si="10"/>
        <v>1</v>
      </c>
      <c r="N25" s="1">
        <f t="shared" ref="N25:N88" si="14">IF(K25&gt;0.68,1.563*K25-0.563,0.5)</f>
        <v>1</v>
      </c>
      <c r="O25" s="1">
        <f t="shared" ref="O25:O88" si="15">IF(L25&gt;0.68,1.563*L25-0.563,0.5)</f>
        <v>1</v>
      </c>
      <c r="P25" s="1">
        <f t="shared" si="3"/>
        <v>41</v>
      </c>
      <c r="Q25" s="90">
        <f t="shared" si="11"/>
        <v>1</v>
      </c>
      <c r="R25" s="90">
        <f t="shared" si="4"/>
        <v>1</v>
      </c>
      <c r="S25" s="90">
        <f t="shared" si="5"/>
        <v>1</v>
      </c>
      <c r="T25" s="1">
        <f t="shared" si="6"/>
        <v>105</v>
      </c>
      <c r="U25" s="82">
        <f t="shared" si="12"/>
        <v>0.83990894350000023</v>
      </c>
    </row>
    <row r="26" spans="3:24">
      <c r="C26" s="1">
        <f t="shared" si="7"/>
        <v>110</v>
      </c>
      <c r="D26" s="1">
        <v>7.5770900000000002E-2</v>
      </c>
      <c r="E26" s="1">
        <f t="shared" si="0"/>
        <v>110</v>
      </c>
      <c r="F26" s="1">
        <f t="shared" si="8"/>
        <v>0.81405265000000004</v>
      </c>
      <c r="H26" s="1">
        <f t="shared" si="13"/>
        <v>42</v>
      </c>
      <c r="I26" s="1">
        <f>I24+0.4*(I29-I24)</f>
        <v>0.54322199999999998</v>
      </c>
      <c r="J26" s="1">
        <f t="shared" si="9"/>
        <v>1</v>
      </c>
      <c r="K26" s="1">
        <f t="shared" si="9"/>
        <v>1</v>
      </c>
      <c r="L26" s="1">
        <f t="shared" si="9"/>
        <v>1</v>
      </c>
      <c r="M26" s="1">
        <f t="shared" si="10"/>
        <v>1</v>
      </c>
      <c r="N26" s="1">
        <f t="shared" si="14"/>
        <v>1</v>
      </c>
      <c r="O26" s="1">
        <f t="shared" si="15"/>
        <v>1</v>
      </c>
      <c r="P26" s="1">
        <f t="shared" si="3"/>
        <v>42</v>
      </c>
      <c r="Q26" s="90">
        <f t="shared" si="11"/>
        <v>1</v>
      </c>
      <c r="R26" s="90">
        <f t="shared" si="4"/>
        <v>1</v>
      </c>
      <c r="S26" s="90">
        <f t="shared" si="5"/>
        <v>1</v>
      </c>
      <c r="T26" s="1">
        <f t="shared" si="6"/>
        <v>110</v>
      </c>
      <c r="U26" s="82">
        <f t="shared" si="12"/>
        <v>0.70936429195000006</v>
      </c>
    </row>
    <row r="27" spans="3:24">
      <c r="C27" s="1">
        <f t="shared" si="7"/>
        <v>115</v>
      </c>
      <c r="D27" s="1">
        <v>6.7157999999999995E-2</v>
      </c>
      <c r="E27" s="1">
        <f t="shared" si="0"/>
        <v>115</v>
      </c>
      <c r="F27" s="1">
        <f t="shared" si="8"/>
        <v>0.74084300000000003</v>
      </c>
      <c r="H27" s="1">
        <f t="shared" si="13"/>
        <v>43</v>
      </c>
      <c r="I27" s="1">
        <f>I24+0.6*(I29-I24)</f>
        <v>0.52492800000000006</v>
      </c>
      <c r="J27" s="1">
        <f t="shared" si="9"/>
        <v>1</v>
      </c>
      <c r="K27" s="1">
        <f t="shared" si="9"/>
        <v>1</v>
      </c>
      <c r="L27" s="1">
        <f t="shared" si="9"/>
        <v>1</v>
      </c>
      <c r="M27" s="1">
        <f t="shared" si="10"/>
        <v>1</v>
      </c>
      <c r="N27" s="1">
        <f t="shared" si="14"/>
        <v>1</v>
      </c>
      <c r="O27" s="1">
        <f t="shared" si="15"/>
        <v>1</v>
      </c>
      <c r="P27" s="1">
        <f t="shared" si="3"/>
        <v>43</v>
      </c>
      <c r="Q27" s="90">
        <f t="shared" si="11"/>
        <v>1</v>
      </c>
      <c r="R27" s="90">
        <f t="shared" si="4"/>
        <v>1</v>
      </c>
      <c r="S27" s="90">
        <f t="shared" si="5"/>
        <v>1</v>
      </c>
      <c r="T27" s="1">
        <f t="shared" si="6"/>
        <v>115</v>
      </c>
      <c r="U27" s="82">
        <f t="shared" si="12"/>
        <v>0.59493760900000003</v>
      </c>
    </row>
    <row r="28" spans="3:24">
      <c r="C28" s="1">
        <f t="shared" si="7"/>
        <v>120</v>
      </c>
      <c r="D28" s="1">
        <v>5.9740000000000001E-2</v>
      </c>
      <c r="E28" s="1">
        <f t="shared" si="0"/>
        <v>120</v>
      </c>
      <c r="F28" s="1">
        <f t="shared" si="8"/>
        <v>0.67779000000000011</v>
      </c>
      <c r="H28" s="1">
        <f t="shared" si="13"/>
        <v>44</v>
      </c>
      <c r="I28" s="1">
        <f>I24+0.8*(I29-I24)</f>
        <v>0.50663400000000003</v>
      </c>
      <c r="J28" s="1">
        <f t="shared" si="9"/>
        <v>1</v>
      </c>
      <c r="K28" s="1">
        <f t="shared" si="9"/>
        <v>1</v>
      </c>
      <c r="L28" s="1">
        <f t="shared" si="9"/>
        <v>1</v>
      </c>
      <c r="M28" s="1">
        <f t="shared" si="10"/>
        <v>1</v>
      </c>
      <c r="N28" s="1">
        <f t="shared" si="14"/>
        <v>1</v>
      </c>
      <c r="O28" s="1">
        <f t="shared" si="15"/>
        <v>1</v>
      </c>
      <c r="P28" s="1">
        <f t="shared" si="3"/>
        <v>44</v>
      </c>
      <c r="Q28" s="90">
        <f t="shared" si="11"/>
        <v>1</v>
      </c>
      <c r="R28" s="90">
        <f t="shared" si="4"/>
        <v>1</v>
      </c>
      <c r="S28" s="90">
        <f t="shared" si="5"/>
        <v>1</v>
      </c>
      <c r="T28" s="1">
        <f t="shared" si="6"/>
        <v>120</v>
      </c>
      <c r="U28" s="82">
        <f t="shared" si="12"/>
        <v>0</v>
      </c>
      <c r="W28" s="1" t="s">
        <v>161</v>
      </c>
      <c r="X28" s="1" t="s">
        <v>154</v>
      </c>
    </row>
    <row r="29" spans="3:24">
      <c r="C29" s="1">
        <f t="shared" si="7"/>
        <v>125</v>
      </c>
      <c r="D29" s="1">
        <v>5.3284999999999999E-2</v>
      </c>
      <c r="E29" s="1">
        <f t="shared" si="0"/>
        <v>125</v>
      </c>
      <c r="F29" s="1">
        <f t="shared" si="8"/>
        <v>0.62292250000000005</v>
      </c>
      <c r="H29" s="1">
        <f t="shared" si="13"/>
        <v>45</v>
      </c>
      <c r="I29" s="1">
        <v>0.48834</v>
      </c>
      <c r="J29" s="1">
        <f t="shared" si="9"/>
        <v>1</v>
      </c>
      <c r="K29" s="1">
        <f t="shared" si="9"/>
        <v>1</v>
      </c>
      <c r="L29" s="1">
        <f t="shared" si="9"/>
        <v>1</v>
      </c>
      <c r="M29" s="1">
        <f t="shared" si="10"/>
        <v>1</v>
      </c>
      <c r="N29" s="1">
        <f t="shared" si="14"/>
        <v>1</v>
      </c>
      <c r="O29" s="1">
        <f t="shared" si="15"/>
        <v>1</v>
      </c>
      <c r="P29" s="1">
        <f t="shared" si="3"/>
        <v>45</v>
      </c>
      <c r="Q29" s="90">
        <f t="shared" si="11"/>
        <v>1</v>
      </c>
      <c r="R29" s="90">
        <f t="shared" si="4"/>
        <v>1</v>
      </c>
      <c r="S29" s="90">
        <f t="shared" si="5"/>
        <v>1</v>
      </c>
      <c r="T29" s="1">
        <f t="shared" si="6"/>
        <v>125</v>
      </c>
      <c r="U29" s="82">
        <f t="shared" si="12"/>
        <v>0</v>
      </c>
      <c r="W29" s="1">
        <v>100</v>
      </c>
      <c r="X29" s="1">
        <v>80</v>
      </c>
    </row>
    <row r="30" spans="3:24">
      <c r="C30" s="1">
        <f t="shared" si="7"/>
        <v>130</v>
      </c>
      <c r="D30" s="1">
        <v>4.7699999999999999E-2</v>
      </c>
      <c r="E30" s="1">
        <f t="shared" si="0"/>
        <v>130</v>
      </c>
      <c r="F30" s="1">
        <f t="shared" si="8"/>
        <v>0.57545000000000002</v>
      </c>
      <c r="H30" s="1">
        <f t="shared" si="13"/>
        <v>46</v>
      </c>
      <c r="I30" s="1">
        <f>I29+0.2*(I34-I29)</f>
        <v>0.47331600000000001</v>
      </c>
      <c r="J30" s="1">
        <f t="shared" si="9"/>
        <v>1</v>
      </c>
      <c r="K30" s="1">
        <f t="shared" si="9"/>
        <v>1</v>
      </c>
      <c r="L30" s="1">
        <f t="shared" si="9"/>
        <v>1</v>
      </c>
      <c r="M30" s="1">
        <f t="shared" si="10"/>
        <v>1</v>
      </c>
      <c r="N30" s="1">
        <f t="shared" si="14"/>
        <v>1</v>
      </c>
      <c r="O30" s="1">
        <f t="shared" si="15"/>
        <v>1</v>
      </c>
      <c r="P30" s="1">
        <f t="shared" si="3"/>
        <v>46</v>
      </c>
      <c r="Q30" s="90">
        <f t="shared" si="11"/>
        <v>1</v>
      </c>
      <c r="R30" s="90">
        <f t="shared" si="4"/>
        <v>1</v>
      </c>
      <c r="S30" s="90">
        <f t="shared" si="5"/>
        <v>1</v>
      </c>
      <c r="T30" s="1">
        <f t="shared" si="6"/>
        <v>130</v>
      </c>
      <c r="U30" s="82">
        <f t="shared" si="12"/>
        <v>0</v>
      </c>
      <c r="W30" s="1">
        <v>68</v>
      </c>
      <c r="X30" s="1">
        <v>85</v>
      </c>
    </row>
    <row r="31" spans="3:24">
      <c r="C31" s="1">
        <f t="shared" si="7"/>
        <v>135</v>
      </c>
      <c r="D31" s="1">
        <v>4.2700000000000002E-2</v>
      </c>
      <c r="E31" s="1">
        <f t="shared" si="0"/>
        <v>135</v>
      </c>
      <c r="F31" s="1">
        <f t="shared" si="8"/>
        <v>0.53295000000000003</v>
      </c>
      <c r="H31" s="1">
        <f t="shared" si="13"/>
        <v>47</v>
      </c>
      <c r="I31" s="1">
        <f>I29+0.4*(I34-I29)</f>
        <v>0.45829199999999998</v>
      </c>
      <c r="J31" s="1">
        <f t="shared" si="9"/>
        <v>1</v>
      </c>
      <c r="K31" s="1">
        <f t="shared" si="9"/>
        <v>1</v>
      </c>
      <c r="L31" s="1">
        <f t="shared" si="9"/>
        <v>1</v>
      </c>
      <c r="M31" s="1">
        <f t="shared" si="10"/>
        <v>1</v>
      </c>
      <c r="N31" s="1">
        <f t="shared" si="14"/>
        <v>1</v>
      </c>
      <c r="O31" s="1">
        <f t="shared" si="15"/>
        <v>1</v>
      </c>
      <c r="P31" s="1">
        <f t="shared" si="3"/>
        <v>47</v>
      </c>
      <c r="Q31" s="90">
        <f t="shared" si="11"/>
        <v>1</v>
      </c>
      <c r="R31" s="90">
        <f t="shared" si="4"/>
        <v>1</v>
      </c>
      <c r="S31" s="90">
        <f t="shared" si="5"/>
        <v>1</v>
      </c>
      <c r="T31" s="1">
        <f t="shared" si="6"/>
        <v>135</v>
      </c>
      <c r="U31" s="82">
        <f t="shared" si="12"/>
        <v>0</v>
      </c>
      <c r="W31" s="1">
        <v>47</v>
      </c>
      <c r="X31" s="1">
        <v>90</v>
      </c>
    </row>
    <row r="32" spans="3:24">
      <c r="C32" s="1">
        <f t="shared" si="7"/>
        <v>140</v>
      </c>
      <c r="D32" s="1">
        <v>3.8399999999999997E-2</v>
      </c>
      <c r="E32" s="1">
        <f t="shared" si="0"/>
        <v>140</v>
      </c>
      <c r="F32" s="1">
        <f t="shared" si="8"/>
        <v>0.49640000000000001</v>
      </c>
      <c r="H32" s="1">
        <f t="shared" si="13"/>
        <v>48</v>
      </c>
      <c r="I32" s="1">
        <f>I29+0.6*(I34-I29)</f>
        <v>0.443268</v>
      </c>
      <c r="J32" s="1">
        <f t="shared" si="9"/>
        <v>1</v>
      </c>
      <c r="K32" s="1">
        <f t="shared" si="9"/>
        <v>1</v>
      </c>
      <c r="L32" s="1">
        <f t="shared" si="9"/>
        <v>1</v>
      </c>
      <c r="M32" s="1">
        <f t="shared" si="10"/>
        <v>1</v>
      </c>
      <c r="N32" s="1">
        <f t="shared" si="14"/>
        <v>1</v>
      </c>
      <c r="O32" s="1">
        <f t="shared" si="15"/>
        <v>1</v>
      </c>
      <c r="P32" s="1">
        <f t="shared" si="3"/>
        <v>48</v>
      </c>
      <c r="Q32" s="90">
        <f t="shared" si="11"/>
        <v>1</v>
      </c>
      <c r="R32" s="90">
        <f t="shared" si="4"/>
        <v>1</v>
      </c>
      <c r="S32" s="90">
        <f t="shared" si="5"/>
        <v>1</v>
      </c>
      <c r="T32" s="1">
        <f t="shared" si="6"/>
        <v>140</v>
      </c>
      <c r="U32" s="82">
        <f t="shared" si="12"/>
        <v>0</v>
      </c>
      <c r="W32" s="1">
        <v>33</v>
      </c>
    </row>
    <row r="33" spans="3:23">
      <c r="C33" s="1">
        <f t="shared" si="7"/>
        <v>145</v>
      </c>
      <c r="D33" s="1">
        <v>3.4599999999999999E-2</v>
      </c>
      <c r="E33" s="1">
        <f t="shared" si="0"/>
        <v>145</v>
      </c>
      <c r="F33" s="1">
        <f t="shared" si="8"/>
        <v>0.46410000000000001</v>
      </c>
      <c r="H33" s="1">
        <f t="shared" si="13"/>
        <v>49</v>
      </c>
      <c r="I33" s="1">
        <f>I29+0.8*(I34-I29)</f>
        <v>0.42824399999999996</v>
      </c>
      <c r="J33" s="1">
        <f t="shared" si="9"/>
        <v>1</v>
      </c>
      <c r="K33" s="1">
        <f t="shared" si="9"/>
        <v>1</v>
      </c>
      <c r="L33" s="1">
        <f t="shared" si="9"/>
        <v>1</v>
      </c>
      <c r="M33" s="1">
        <f t="shared" si="10"/>
        <v>1</v>
      </c>
      <c r="N33" s="1">
        <f t="shared" si="14"/>
        <v>1</v>
      </c>
      <c r="O33" s="1">
        <f t="shared" si="15"/>
        <v>1</v>
      </c>
      <c r="P33" s="1">
        <f t="shared" si="3"/>
        <v>49</v>
      </c>
      <c r="Q33" s="90">
        <f t="shared" si="11"/>
        <v>1</v>
      </c>
      <c r="R33" s="90">
        <f t="shared" si="4"/>
        <v>1</v>
      </c>
      <c r="S33" s="90">
        <f t="shared" si="5"/>
        <v>1</v>
      </c>
      <c r="T33" s="1">
        <f t="shared" si="6"/>
        <v>145</v>
      </c>
      <c r="U33" s="82">
        <f t="shared" si="12"/>
        <v>0</v>
      </c>
      <c r="W33" s="1">
        <v>22</v>
      </c>
    </row>
    <row r="34" spans="3:23">
      <c r="C34" s="1">
        <f t="shared" si="7"/>
        <v>150</v>
      </c>
      <c r="D34" s="1">
        <v>3.1199999999999999E-2</v>
      </c>
      <c r="E34" s="1">
        <f t="shared" si="0"/>
        <v>150</v>
      </c>
      <c r="F34" s="1">
        <f t="shared" si="8"/>
        <v>0.43519999999999998</v>
      </c>
      <c r="H34" s="1">
        <f t="shared" si="13"/>
        <v>50</v>
      </c>
      <c r="I34" s="1">
        <v>0.41321999999999998</v>
      </c>
      <c r="J34" s="1">
        <f t="shared" si="9"/>
        <v>1</v>
      </c>
      <c r="K34" s="1">
        <f t="shared" si="9"/>
        <v>1</v>
      </c>
      <c r="L34" s="1">
        <f t="shared" si="9"/>
        <v>1</v>
      </c>
      <c r="M34" s="1">
        <f t="shared" si="10"/>
        <v>1</v>
      </c>
      <c r="N34" s="1">
        <f t="shared" si="14"/>
        <v>1</v>
      </c>
      <c r="O34" s="1">
        <f t="shared" si="15"/>
        <v>1</v>
      </c>
      <c r="P34" s="1">
        <f t="shared" si="3"/>
        <v>50</v>
      </c>
      <c r="Q34" s="90">
        <f t="shared" si="11"/>
        <v>1</v>
      </c>
      <c r="R34" s="90">
        <f t="shared" si="4"/>
        <v>1</v>
      </c>
      <c r="S34" s="90">
        <f t="shared" si="5"/>
        <v>1</v>
      </c>
      <c r="T34" s="1">
        <f t="shared" si="6"/>
        <v>150</v>
      </c>
      <c r="U34" s="82">
        <f t="shared" si="12"/>
        <v>0</v>
      </c>
      <c r="W34" s="1">
        <v>10</v>
      </c>
    </row>
    <row r="35" spans="3:23">
      <c r="H35" s="1">
        <f t="shared" si="13"/>
        <v>51</v>
      </c>
      <c r="I35" s="1">
        <f>I34+0.2*(I39-I34)</f>
        <v>0.40082399999999996</v>
      </c>
      <c r="J35" s="1">
        <f t="shared" si="9"/>
        <v>1</v>
      </c>
      <c r="K35" s="1">
        <f t="shared" si="9"/>
        <v>1</v>
      </c>
      <c r="L35" s="1">
        <f t="shared" si="9"/>
        <v>1</v>
      </c>
      <c r="M35" s="1">
        <f t="shared" si="10"/>
        <v>1</v>
      </c>
      <c r="N35" s="1">
        <f t="shared" si="14"/>
        <v>1</v>
      </c>
      <c r="O35" s="1">
        <f t="shared" si="15"/>
        <v>1</v>
      </c>
      <c r="P35" s="1">
        <f t="shared" si="3"/>
        <v>51</v>
      </c>
      <c r="Q35" s="90">
        <f t="shared" si="11"/>
        <v>1</v>
      </c>
      <c r="R35" s="90">
        <f t="shared" si="4"/>
        <v>1</v>
      </c>
      <c r="S35" s="90">
        <f t="shared" si="5"/>
        <v>1</v>
      </c>
      <c r="W35" s="1">
        <v>4.7</v>
      </c>
    </row>
    <row r="36" spans="3:23">
      <c r="H36" s="1">
        <f t="shared" si="13"/>
        <v>52</v>
      </c>
      <c r="I36" s="1">
        <f>I34+0.4*(I39-I34)</f>
        <v>0.388428</v>
      </c>
      <c r="J36" s="1">
        <f t="shared" si="9"/>
        <v>1</v>
      </c>
      <c r="K36" s="1">
        <f t="shared" si="9"/>
        <v>1</v>
      </c>
      <c r="L36" s="1">
        <f t="shared" si="9"/>
        <v>1</v>
      </c>
      <c r="M36" s="1">
        <f t="shared" si="10"/>
        <v>1</v>
      </c>
      <c r="N36" s="1">
        <f t="shared" si="14"/>
        <v>1</v>
      </c>
      <c r="O36" s="1">
        <f t="shared" si="15"/>
        <v>1</v>
      </c>
      <c r="P36" s="1">
        <f t="shared" si="3"/>
        <v>52</v>
      </c>
      <c r="Q36" s="90">
        <f t="shared" si="11"/>
        <v>1</v>
      </c>
      <c r="R36" s="90">
        <f t="shared" si="4"/>
        <v>1</v>
      </c>
      <c r="S36" s="90">
        <f t="shared" si="5"/>
        <v>1</v>
      </c>
    </row>
    <row r="37" spans="3:23">
      <c r="H37" s="1">
        <f t="shared" si="13"/>
        <v>53</v>
      </c>
      <c r="I37" s="1">
        <f>I34+0.6*(I39-I34)</f>
        <v>0.37603199999999998</v>
      </c>
      <c r="J37" s="1">
        <f t="shared" si="9"/>
        <v>1</v>
      </c>
      <c r="K37" s="1">
        <f t="shared" si="9"/>
        <v>1</v>
      </c>
      <c r="L37" s="1">
        <f t="shared" si="9"/>
        <v>1</v>
      </c>
      <c r="M37" s="1">
        <f t="shared" si="10"/>
        <v>1</v>
      </c>
      <c r="N37" s="1">
        <f t="shared" si="14"/>
        <v>1</v>
      </c>
      <c r="O37" s="1">
        <f t="shared" si="15"/>
        <v>1</v>
      </c>
      <c r="P37" s="1">
        <f t="shared" si="3"/>
        <v>53</v>
      </c>
      <c r="Q37" s="90">
        <f t="shared" si="11"/>
        <v>1</v>
      </c>
      <c r="R37" s="90">
        <f t="shared" si="4"/>
        <v>1</v>
      </c>
      <c r="S37" s="90">
        <f t="shared" si="5"/>
        <v>1</v>
      </c>
    </row>
    <row r="38" spans="3:23">
      <c r="H38" s="1">
        <f t="shared" si="13"/>
        <v>54</v>
      </c>
      <c r="I38" s="1">
        <f>I34+0.8*(I39-I34)</f>
        <v>0.36363599999999996</v>
      </c>
      <c r="J38" s="1">
        <f t="shared" si="9"/>
        <v>1</v>
      </c>
      <c r="K38" s="1">
        <f t="shared" si="9"/>
        <v>1</v>
      </c>
      <c r="L38" s="1">
        <f t="shared" si="9"/>
        <v>1</v>
      </c>
      <c r="M38" s="1">
        <f t="shared" si="10"/>
        <v>1</v>
      </c>
      <c r="N38" s="1">
        <f t="shared" si="14"/>
        <v>1</v>
      </c>
      <c r="O38" s="1">
        <f t="shared" si="15"/>
        <v>1</v>
      </c>
      <c r="P38" s="1">
        <f t="shared" si="3"/>
        <v>54</v>
      </c>
      <c r="Q38" s="90">
        <f t="shared" si="11"/>
        <v>1</v>
      </c>
      <c r="R38" s="90">
        <f t="shared" si="4"/>
        <v>1</v>
      </c>
      <c r="S38" s="90">
        <f t="shared" si="5"/>
        <v>1</v>
      </c>
    </row>
    <row r="39" spans="3:23">
      <c r="H39" s="1">
        <f t="shared" si="13"/>
        <v>55</v>
      </c>
      <c r="I39" s="1">
        <v>0.35124</v>
      </c>
      <c r="J39" s="1">
        <f t="shared" si="9"/>
        <v>1</v>
      </c>
      <c r="K39" s="1">
        <f t="shared" si="9"/>
        <v>1</v>
      </c>
      <c r="L39" s="1">
        <f t="shared" si="9"/>
        <v>1</v>
      </c>
      <c r="M39" s="1">
        <f t="shared" si="10"/>
        <v>1</v>
      </c>
      <c r="N39" s="1">
        <f t="shared" si="14"/>
        <v>1</v>
      </c>
      <c r="O39" s="1">
        <f t="shared" si="15"/>
        <v>1</v>
      </c>
      <c r="P39" s="1">
        <f t="shared" si="3"/>
        <v>55</v>
      </c>
      <c r="Q39" s="90">
        <f t="shared" si="11"/>
        <v>1</v>
      </c>
      <c r="R39" s="90">
        <f t="shared" si="4"/>
        <v>1</v>
      </c>
      <c r="S39" s="90">
        <f t="shared" si="5"/>
        <v>1</v>
      </c>
    </row>
    <row r="40" spans="3:23">
      <c r="H40" s="1">
        <f t="shared" si="13"/>
        <v>56</v>
      </c>
      <c r="I40" s="1">
        <f>I39+0.2*(I44-I39)</f>
        <v>0.34095999999999999</v>
      </c>
      <c r="J40" s="1">
        <f t="shared" si="9"/>
        <v>1</v>
      </c>
      <c r="K40" s="1">
        <f t="shared" si="9"/>
        <v>1</v>
      </c>
      <c r="L40" s="1">
        <f t="shared" si="9"/>
        <v>1</v>
      </c>
      <c r="M40" s="1">
        <f t="shared" si="10"/>
        <v>1</v>
      </c>
      <c r="N40" s="1">
        <f t="shared" si="14"/>
        <v>1</v>
      </c>
      <c r="O40" s="1">
        <f t="shared" si="15"/>
        <v>1</v>
      </c>
      <c r="P40" s="1">
        <f t="shared" si="3"/>
        <v>56</v>
      </c>
      <c r="Q40" s="90">
        <f t="shared" si="11"/>
        <v>1</v>
      </c>
      <c r="R40" s="90">
        <f t="shared" si="4"/>
        <v>1</v>
      </c>
      <c r="S40" s="90">
        <f t="shared" si="5"/>
        <v>1</v>
      </c>
    </row>
    <row r="41" spans="3:23">
      <c r="H41" s="1">
        <f t="shared" si="13"/>
        <v>57</v>
      </c>
      <c r="I41" s="1">
        <f>I39+0.4*(I44-I39)</f>
        <v>0.33067999999999997</v>
      </c>
      <c r="J41" s="1">
        <f t="shared" si="9"/>
        <v>1</v>
      </c>
      <c r="K41" s="1">
        <f t="shared" si="9"/>
        <v>1</v>
      </c>
      <c r="L41" s="1">
        <f t="shared" si="9"/>
        <v>1</v>
      </c>
      <c r="M41" s="1">
        <f t="shared" si="10"/>
        <v>1</v>
      </c>
      <c r="N41" s="1">
        <f t="shared" si="14"/>
        <v>1</v>
      </c>
      <c r="O41" s="1">
        <f t="shared" si="15"/>
        <v>1</v>
      </c>
      <c r="P41" s="1">
        <f t="shared" si="3"/>
        <v>57</v>
      </c>
      <c r="Q41" s="90">
        <f t="shared" si="11"/>
        <v>1</v>
      </c>
      <c r="R41" s="90">
        <f t="shared" si="4"/>
        <v>1</v>
      </c>
      <c r="S41" s="90">
        <f t="shared" si="5"/>
        <v>1</v>
      </c>
    </row>
    <row r="42" spans="3:23">
      <c r="H42" s="1">
        <f t="shared" si="13"/>
        <v>58</v>
      </c>
      <c r="I42" s="1">
        <f>I39+0.6*(I44-I39)</f>
        <v>0.32040000000000002</v>
      </c>
      <c r="J42" s="1">
        <f t="shared" si="9"/>
        <v>1</v>
      </c>
      <c r="K42" s="1">
        <f t="shared" si="9"/>
        <v>1</v>
      </c>
      <c r="L42" s="1">
        <f t="shared" si="9"/>
        <v>1</v>
      </c>
      <c r="M42" s="1">
        <f t="shared" si="10"/>
        <v>1</v>
      </c>
      <c r="N42" s="1">
        <f t="shared" si="14"/>
        <v>1</v>
      </c>
      <c r="O42" s="1">
        <f t="shared" si="15"/>
        <v>1</v>
      </c>
      <c r="P42" s="1">
        <f t="shared" si="3"/>
        <v>58</v>
      </c>
      <c r="Q42" s="90">
        <f t="shared" si="11"/>
        <v>1</v>
      </c>
      <c r="R42" s="90">
        <f t="shared" si="4"/>
        <v>1</v>
      </c>
      <c r="S42" s="90">
        <f t="shared" si="5"/>
        <v>1</v>
      </c>
    </row>
    <row r="43" spans="3:23">
      <c r="H43" s="1">
        <f t="shared" si="13"/>
        <v>59</v>
      </c>
      <c r="I43" s="1">
        <f>I39+0.8*(I44-I39)</f>
        <v>0.31012000000000001</v>
      </c>
      <c r="J43" s="1">
        <f t="shared" si="9"/>
        <v>1</v>
      </c>
      <c r="K43" s="1">
        <f t="shared" si="9"/>
        <v>1</v>
      </c>
      <c r="L43" s="1">
        <f t="shared" si="9"/>
        <v>1</v>
      </c>
      <c r="M43" s="1">
        <f t="shared" si="10"/>
        <v>1</v>
      </c>
      <c r="N43" s="1">
        <f t="shared" si="14"/>
        <v>1</v>
      </c>
      <c r="O43" s="1">
        <f t="shared" si="15"/>
        <v>1</v>
      </c>
      <c r="P43" s="1">
        <f t="shared" si="3"/>
        <v>59</v>
      </c>
      <c r="Q43" s="90">
        <f t="shared" si="11"/>
        <v>1</v>
      </c>
      <c r="R43" s="90">
        <f t="shared" si="4"/>
        <v>1</v>
      </c>
      <c r="S43" s="90">
        <f t="shared" si="5"/>
        <v>1</v>
      </c>
    </row>
    <row r="44" spans="3:23">
      <c r="H44" s="1">
        <f t="shared" si="13"/>
        <v>60</v>
      </c>
      <c r="I44" s="1">
        <v>0.29984</v>
      </c>
      <c r="J44" s="1">
        <f t="shared" si="9"/>
        <v>1</v>
      </c>
      <c r="K44" s="1">
        <f t="shared" si="9"/>
        <v>1</v>
      </c>
      <c r="L44" s="1">
        <f t="shared" si="9"/>
        <v>1</v>
      </c>
      <c r="M44" s="1">
        <f t="shared" si="10"/>
        <v>1</v>
      </c>
      <c r="N44" s="1">
        <f t="shared" si="14"/>
        <v>1</v>
      </c>
      <c r="O44" s="1">
        <f t="shared" si="15"/>
        <v>1</v>
      </c>
      <c r="P44" s="1">
        <f t="shared" si="3"/>
        <v>60</v>
      </c>
      <c r="Q44" s="90">
        <f t="shared" si="11"/>
        <v>1</v>
      </c>
      <c r="R44" s="90">
        <f t="shared" si="4"/>
        <v>1</v>
      </c>
      <c r="S44" s="90">
        <f t="shared" si="5"/>
        <v>1</v>
      </c>
    </row>
    <row r="45" spans="3:23">
      <c r="H45" s="1">
        <f t="shared" si="13"/>
        <v>61</v>
      </c>
      <c r="I45" s="1">
        <f>I44+0.2*(I49-I44)</f>
        <v>0.29127999999999998</v>
      </c>
      <c r="J45" s="1">
        <f t="shared" si="9"/>
        <v>1</v>
      </c>
      <c r="K45" s="1">
        <f t="shared" si="9"/>
        <v>1</v>
      </c>
      <c r="L45" s="1">
        <f t="shared" si="9"/>
        <v>1</v>
      </c>
      <c r="M45" s="1">
        <f t="shared" si="10"/>
        <v>1</v>
      </c>
      <c r="N45" s="1">
        <f t="shared" si="14"/>
        <v>1</v>
      </c>
      <c r="O45" s="1">
        <f t="shared" si="15"/>
        <v>1</v>
      </c>
      <c r="P45" s="1">
        <f t="shared" si="3"/>
        <v>61</v>
      </c>
      <c r="Q45" s="90">
        <f t="shared" si="11"/>
        <v>1</v>
      </c>
      <c r="R45" s="90">
        <f t="shared" si="4"/>
        <v>1</v>
      </c>
      <c r="S45" s="90">
        <f t="shared" si="5"/>
        <v>1</v>
      </c>
    </row>
    <row r="46" spans="3:23">
      <c r="H46" s="1">
        <f t="shared" si="13"/>
        <v>62</v>
      </c>
      <c r="I46" s="1">
        <f>I44+0.4*(I49-I44)</f>
        <v>0.28271999999999997</v>
      </c>
      <c r="J46" s="1">
        <f t="shared" si="9"/>
        <v>1</v>
      </c>
      <c r="K46" s="1">
        <f t="shared" si="9"/>
        <v>1</v>
      </c>
      <c r="L46" s="1">
        <f t="shared" si="9"/>
        <v>1</v>
      </c>
      <c r="M46" s="1">
        <f t="shared" si="10"/>
        <v>1</v>
      </c>
      <c r="N46" s="1">
        <f t="shared" si="14"/>
        <v>1</v>
      </c>
      <c r="O46" s="1">
        <f t="shared" si="15"/>
        <v>1</v>
      </c>
      <c r="P46" s="1">
        <f t="shared" si="3"/>
        <v>62</v>
      </c>
      <c r="Q46" s="90">
        <f t="shared" si="11"/>
        <v>1</v>
      </c>
      <c r="R46" s="90">
        <f t="shared" si="4"/>
        <v>1</v>
      </c>
      <c r="S46" s="90">
        <f t="shared" si="5"/>
        <v>1</v>
      </c>
    </row>
    <row r="47" spans="3:23">
      <c r="H47" s="1">
        <f t="shared" si="13"/>
        <v>63</v>
      </c>
      <c r="I47" s="1">
        <f>I44+0.6*(I49-I44)</f>
        <v>0.27416000000000001</v>
      </c>
      <c r="J47" s="1">
        <f t="shared" si="9"/>
        <v>1</v>
      </c>
      <c r="K47" s="1">
        <f t="shared" si="9"/>
        <v>1</v>
      </c>
      <c r="L47" s="1">
        <f t="shared" si="9"/>
        <v>1</v>
      </c>
      <c r="M47" s="1">
        <f t="shared" si="10"/>
        <v>1</v>
      </c>
      <c r="N47" s="1">
        <f t="shared" si="14"/>
        <v>1</v>
      </c>
      <c r="O47" s="1">
        <f t="shared" si="15"/>
        <v>1</v>
      </c>
      <c r="P47" s="1">
        <f t="shared" si="3"/>
        <v>63</v>
      </c>
      <c r="Q47" s="90">
        <f t="shared" si="11"/>
        <v>1</v>
      </c>
      <c r="R47" s="90">
        <f t="shared" si="4"/>
        <v>1</v>
      </c>
      <c r="S47" s="90">
        <f t="shared" si="5"/>
        <v>1</v>
      </c>
    </row>
    <row r="48" spans="3:23">
      <c r="H48" s="1">
        <f t="shared" si="13"/>
        <v>64</v>
      </c>
      <c r="I48" s="1">
        <f>I44+0.8*(I49-I44)</f>
        <v>0.2656</v>
      </c>
      <c r="J48" s="1">
        <f t="shared" si="9"/>
        <v>1</v>
      </c>
      <c r="K48" s="1">
        <f t="shared" si="9"/>
        <v>1</v>
      </c>
      <c r="L48" s="1">
        <f t="shared" si="9"/>
        <v>1</v>
      </c>
      <c r="M48" s="1">
        <f t="shared" si="10"/>
        <v>1</v>
      </c>
      <c r="N48" s="1">
        <f t="shared" si="14"/>
        <v>1</v>
      </c>
      <c r="O48" s="1">
        <f t="shared" si="15"/>
        <v>1</v>
      </c>
      <c r="P48" s="1">
        <f t="shared" si="3"/>
        <v>64</v>
      </c>
      <c r="Q48" s="90">
        <f t="shared" si="11"/>
        <v>1</v>
      </c>
      <c r="R48" s="90">
        <f t="shared" si="4"/>
        <v>1</v>
      </c>
      <c r="S48" s="90">
        <f t="shared" si="5"/>
        <v>1</v>
      </c>
    </row>
    <row r="49" spans="8:19">
      <c r="H49" s="1">
        <f t="shared" si="13"/>
        <v>65</v>
      </c>
      <c r="I49" s="1">
        <v>0.25703999999999999</v>
      </c>
      <c r="J49" s="1">
        <f t="shared" si="9"/>
        <v>1</v>
      </c>
      <c r="K49" s="1">
        <f t="shared" si="9"/>
        <v>1</v>
      </c>
      <c r="L49" s="1">
        <f t="shared" si="9"/>
        <v>1</v>
      </c>
      <c r="M49" s="1">
        <f t="shared" si="10"/>
        <v>1</v>
      </c>
      <c r="N49" s="1">
        <f t="shared" si="14"/>
        <v>1</v>
      </c>
      <c r="O49" s="1">
        <f t="shared" si="15"/>
        <v>1</v>
      </c>
      <c r="P49" s="1">
        <f t="shared" si="3"/>
        <v>65</v>
      </c>
      <c r="Q49" s="90">
        <f t="shared" si="11"/>
        <v>1</v>
      </c>
      <c r="R49" s="90">
        <f t="shared" si="4"/>
        <v>1</v>
      </c>
      <c r="S49" s="90">
        <f t="shared" si="5"/>
        <v>1</v>
      </c>
    </row>
    <row r="50" spans="8:19">
      <c r="H50" s="1">
        <f t="shared" si="13"/>
        <v>66</v>
      </c>
      <c r="I50" s="1">
        <f>I49+0.2*(I54-I49)</f>
        <v>0.24987799999999999</v>
      </c>
      <c r="J50" s="1">
        <f t="shared" si="9"/>
        <v>1</v>
      </c>
      <c r="K50" s="1">
        <f t="shared" si="9"/>
        <v>1</v>
      </c>
      <c r="L50" s="1">
        <f t="shared" si="9"/>
        <v>1</v>
      </c>
      <c r="M50" s="1">
        <f t="shared" si="10"/>
        <v>1</v>
      </c>
      <c r="N50" s="1">
        <f t="shared" si="14"/>
        <v>1</v>
      </c>
      <c r="O50" s="1">
        <f t="shared" si="15"/>
        <v>1</v>
      </c>
      <c r="P50" s="1">
        <f t="shared" si="3"/>
        <v>66</v>
      </c>
      <c r="Q50" s="90">
        <f t="shared" si="11"/>
        <v>1</v>
      </c>
      <c r="R50" s="90">
        <f t="shared" si="4"/>
        <v>1</v>
      </c>
      <c r="S50" s="90">
        <f t="shared" si="5"/>
        <v>1</v>
      </c>
    </row>
    <row r="51" spans="8:19">
      <c r="H51" s="1">
        <f t="shared" si="13"/>
        <v>67</v>
      </c>
      <c r="I51" s="1">
        <f>I49+0.4*(I54-I49)</f>
        <v>0.24271599999999999</v>
      </c>
      <c r="J51" s="1">
        <f t="shared" si="9"/>
        <v>1</v>
      </c>
      <c r="K51" s="1">
        <f t="shared" si="9"/>
        <v>1</v>
      </c>
      <c r="L51" s="1">
        <f t="shared" si="9"/>
        <v>1</v>
      </c>
      <c r="M51" s="1">
        <f t="shared" si="10"/>
        <v>1</v>
      </c>
      <c r="N51" s="1">
        <f t="shared" si="14"/>
        <v>1</v>
      </c>
      <c r="O51" s="1">
        <f t="shared" si="15"/>
        <v>1</v>
      </c>
      <c r="P51" s="1">
        <f t="shared" si="3"/>
        <v>67</v>
      </c>
      <c r="Q51" s="90">
        <f t="shared" si="11"/>
        <v>1</v>
      </c>
      <c r="R51" s="90">
        <f t="shared" si="4"/>
        <v>1</v>
      </c>
      <c r="S51" s="90">
        <f t="shared" si="5"/>
        <v>1</v>
      </c>
    </row>
    <row r="52" spans="8:19">
      <c r="H52" s="1">
        <f t="shared" si="13"/>
        <v>68</v>
      </c>
      <c r="I52" s="1">
        <f>I49+0.6*(I54-I49)</f>
        <v>0.23555400000000001</v>
      </c>
      <c r="J52" s="1">
        <f t="shared" si="9"/>
        <v>1</v>
      </c>
      <c r="K52" s="1">
        <f t="shared" si="9"/>
        <v>1</v>
      </c>
      <c r="L52" s="1">
        <f t="shared" si="9"/>
        <v>1</v>
      </c>
      <c r="M52" s="1">
        <f t="shared" si="10"/>
        <v>1</v>
      </c>
      <c r="N52" s="1">
        <f t="shared" si="14"/>
        <v>1</v>
      </c>
      <c r="O52" s="1">
        <f t="shared" si="15"/>
        <v>1</v>
      </c>
      <c r="P52" s="1">
        <f t="shared" si="3"/>
        <v>68</v>
      </c>
      <c r="Q52" s="90">
        <f t="shared" si="11"/>
        <v>1</v>
      </c>
      <c r="R52" s="90">
        <f t="shared" si="4"/>
        <v>1</v>
      </c>
      <c r="S52" s="90">
        <f t="shared" si="5"/>
        <v>1</v>
      </c>
    </row>
    <row r="53" spans="8:19">
      <c r="H53" s="1">
        <f t="shared" si="13"/>
        <v>69</v>
      </c>
      <c r="I53" s="1">
        <f>I49+0.8*(I54-I49)</f>
        <v>0.22839200000000001</v>
      </c>
      <c r="J53" s="1">
        <f t="shared" si="9"/>
        <v>1</v>
      </c>
      <c r="K53" s="1">
        <f t="shared" si="9"/>
        <v>1</v>
      </c>
      <c r="L53" s="1">
        <f t="shared" si="9"/>
        <v>1</v>
      </c>
      <c r="M53" s="1">
        <f t="shared" si="10"/>
        <v>1</v>
      </c>
      <c r="N53" s="1">
        <f t="shared" si="14"/>
        <v>1</v>
      </c>
      <c r="O53" s="1">
        <f t="shared" si="15"/>
        <v>1</v>
      </c>
      <c r="P53" s="1">
        <f t="shared" si="3"/>
        <v>69</v>
      </c>
      <c r="Q53" s="90">
        <f t="shared" si="11"/>
        <v>1</v>
      </c>
      <c r="R53" s="90">
        <f t="shared" si="4"/>
        <v>1</v>
      </c>
      <c r="S53" s="90">
        <f t="shared" si="5"/>
        <v>1</v>
      </c>
    </row>
    <row r="54" spans="8:19">
      <c r="H54" s="1">
        <f t="shared" si="13"/>
        <v>70</v>
      </c>
      <c r="I54" s="1">
        <v>0.22123000000000001</v>
      </c>
      <c r="J54" s="1">
        <f t="shared" si="9"/>
        <v>1</v>
      </c>
      <c r="K54" s="1">
        <f t="shared" si="9"/>
        <v>1</v>
      </c>
      <c r="L54" s="1">
        <f t="shared" si="9"/>
        <v>1</v>
      </c>
      <c r="M54" s="1">
        <f t="shared" si="10"/>
        <v>1</v>
      </c>
      <c r="N54" s="1">
        <f t="shared" si="14"/>
        <v>1</v>
      </c>
      <c r="O54" s="1">
        <f t="shared" si="15"/>
        <v>1</v>
      </c>
      <c r="P54" s="1">
        <f t="shared" si="3"/>
        <v>70</v>
      </c>
      <c r="Q54" s="90">
        <f t="shared" si="11"/>
        <v>1</v>
      </c>
      <c r="R54" s="90">
        <f t="shared" si="4"/>
        <v>1</v>
      </c>
      <c r="S54" s="90">
        <f t="shared" si="5"/>
        <v>1</v>
      </c>
    </row>
    <row r="55" spans="8:19">
      <c r="H55" s="1">
        <f t="shared" si="13"/>
        <v>71</v>
      </c>
      <c r="I55" s="1">
        <f>I54+0.2*(I59-I54)</f>
        <v>0.21521200000000001</v>
      </c>
      <c r="J55" s="1">
        <f t="shared" si="9"/>
        <v>1</v>
      </c>
      <c r="K55" s="1">
        <f t="shared" si="9"/>
        <v>1</v>
      </c>
      <c r="L55" s="1">
        <f t="shared" si="9"/>
        <v>1</v>
      </c>
      <c r="M55" s="1">
        <f t="shared" si="10"/>
        <v>1</v>
      </c>
      <c r="N55" s="1">
        <f t="shared" si="14"/>
        <v>1</v>
      </c>
      <c r="O55" s="1">
        <f t="shared" si="15"/>
        <v>1</v>
      </c>
      <c r="P55" s="1">
        <f t="shared" si="3"/>
        <v>71</v>
      </c>
      <c r="Q55" s="90">
        <f t="shared" si="11"/>
        <v>1</v>
      </c>
      <c r="R55" s="90">
        <f t="shared" si="4"/>
        <v>1</v>
      </c>
      <c r="S55" s="90">
        <f t="shared" si="5"/>
        <v>1</v>
      </c>
    </row>
    <row r="56" spans="8:19">
      <c r="H56" s="1">
        <f t="shared" si="13"/>
        <v>72</v>
      </c>
      <c r="I56" s="1">
        <f>I54+0.4*(I59-I54)</f>
        <v>0.20919400000000002</v>
      </c>
      <c r="J56" s="1">
        <f t="shared" si="9"/>
        <v>1</v>
      </c>
      <c r="K56" s="1">
        <f t="shared" si="9"/>
        <v>1</v>
      </c>
      <c r="L56" s="1">
        <f t="shared" si="9"/>
        <v>1</v>
      </c>
      <c r="M56" s="1">
        <f t="shared" si="10"/>
        <v>1</v>
      </c>
      <c r="N56" s="1">
        <f t="shared" si="14"/>
        <v>1</v>
      </c>
      <c r="O56" s="1">
        <f t="shared" si="15"/>
        <v>1</v>
      </c>
      <c r="P56" s="1">
        <f t="shared" si="3"/>
        <v>72</v>
      </c>
      <c r="Q56" s="90">
        <f t="shared" si="11"/>
        <v>1</v>
      </c>
      <c r="R56" s="90">
        <f t="shared" si="4"/>
        <v>1</v>
      </c>
      <c r="S56" s="90">
        <f t="shared" si="5"/>
        <v>1</v>
      </c>
    </row>
    <row r="57" spans="8:19">
      <c r="H57" s="1">
        <f t="shared" si="13"/>
        <v>73</v>
      </c>
      <c r="I57" s="1">
        <f>I54+0.6*(I59-I54)</f>
        <v>0.203176</v>
      </c>
      <c r="J57" s="1">
        <f t="shared" si="9"/>
        <v>1</v>
      </c>
      <c r="K57" s="1">
        <f t="shared" si="9"/>
        <v>1</v>
      </c>
      <c r="L57" s="1">
        <f t="shared" si="9"/>
        <v>1</v>
      </c>
      <c r="M57" s="1">
        <f t="shared" si="10"/>
        <v>1</v>
      </c>
      <c r="N57" s="1">
        <f t="shared" si="14"/>
        <v>1</v>
      </c>
      <c r="O57" s="1">
        <f t="shared" si="15"/>
        <v>1</v>
      </c>
      <c r="P57" s="1">
        <f t="shared" si="3"/>
        <v>73</v>
      </c>
      <c r="Q57" s="90">
        <f t="shared" si="11"/>
        <v>1</v>
      </c>
      <c r="R57" s="90">
        <f t="shared" si="4"/>
        <v>1</v>
      </c>
      <c r="S57" s="90">
        <f t="shared" si="5"/>
        <v>1</v>
      </c>
    </row>
    <row r="58" spans="8:19">
      <c r="H58" s="1">
        <f t="shared" si="13"/>
        <v>74</v>
      </c>
      <c r="I58" s="1">
        <f>I54+0.8*(I59-I54)</f>
        <v>0.197158</v>
      </c>
      <c r="J58" s="1">
        <f t="shared" si="9"/>
        <v>1</v>
      </c>
      <c r="K58" s="1">
        <f t="shared" si="9"/>
        <v>1</v>
      </c>
      <c r="L58" s="1">
        <f t="shared" si="9"/>
        <v>1</v>
      </c>
      <c r="M58" s="1">
        <f t="shared" si="10"/>
        <v>1</v>
      </c>
      <c r="N58" s="1">
        <f t="shared" si="14"/>
        <v>1</v>
      </c>
      <c r="O58" s="1">
        <f t="shared" si="15"/>
        <v>1</v>
      </c>
      <c r="P58" s="1">
        <f t="shared" si="3"/>
        <v>74</v>
      </c>
      <c r="Q58" s="90">
        <f t="shared" si="11"/>
        <v>1</v>
      </c>
      <c r="R58" s="90">
        <f t="shared" si="4"/>
        <v>1</v>
      </c>
      <c r="S58" s="90">
        <f t="shared" si="5"/>
        <v>1</v>
      </c>
    </row>
    <row r="59" spans="8:19">
      <c r="H59" s="1">
        <f t="shared" si="13"/>
        <v>75</v>
      </c>
      <c r="I59" s="1">
        <v>0.19114</v>
      </c>
      <c r="J59" s="1">
        <f t="shared" si="9"/>
        <v>1</v>
      </c>
      <c r="K59" s="1">
        <f t="shared" si="9"/>
        <v>1</v>
      </c>
      <c r="L59" s="1">
        <f t="shared" si="9"/>
        <v>1</v>
      </c>
      <c r="M59" s="1">
        <f t="shared" si="10"/>
        <v>1</v>
      </c>
      <c r="N59" s="1">
        <f t="shared" si="14"/>
        <v>1</v>
      </c>
      <c r="O59" s="1">
        <f t="shared" si="15"/>
        <v>1</v>
      </c>
      <c r="P59" s="1">
        <f t="shared" si="3"/>
        <v>75</v>
      </c>
      <c r="Q59" s="90">
        <f t="shared" si="11"/>
        <v>1</v>
      </c>
      <c r="R59" s="90">
        <f t="shared" si="4"/>
        <v>1</v>
      </c>
      <c r="S59" s="90">
        <f t="shared" si="5"/>
        <v>1</v>
      </c>
    </row>
    <row r="60" spans="8:19">
      <c r="H60" s="1">
        <f t="shared" si="13"/>
        <v>76</v>
      </c>
      <c r="I60" s="1">
        <f>I59+0.2*(I64-I59)</f>
        <v>0.18606600000000001</v>
      </c>
      <c r="J60" s="1">
        <f t="shared" si="9"/>
        <v>1</v>
      </c>
      <c r="K60" s="1">
        <f t="shared" si="9"/>
        <v>1</v>
      </c>
      <c r="L60" s="1">
        <f t="shared" si="9"/>
        <v>1</v>
      </c>
      <c r="M60" s="1">
        <f t="shared" si="10"/>
        <v>1</v>
      </c>
      <c r="N60" s="1">
        <f t="shared" si="14"/>
        <v>1</v>
      </c>
      <c r="O60" s="1">
        <f t="shared" si="15"/>
        <v>1</v>
      </c>
      <c r="P60" s="1">
        <f t="shared" si="3"/>
        <v>76</v>
      </c>
      <c r="Q60" s="90">
        <f t="shared" si="11"/>
        <v>1</v>
      </c>
      <c r="R60" s="90">
        <f t="shared" si="4"/>
        <v>1</v>
      </c>
      <c r="S60" s="90">
        <f t="shared" si="5"/>
        <v>1</v>
      </c>
    </row>
    <row r="61" spans="8:19">
      <c r="H61" s="1">
        <f t="shared" si="13"/>
        <v>77</v>
      </c>
      <c r="I61" s="1">
        <f>I59+0.4*(I64-I59)</f>
        <v>0.18099200000000001</v>
      </c>
      <c r="J61" s="1">
        <f t="shared" si="9"/>
        <v>1</v>
      </c>
      <c r="K61" s="1">
        <f t="shared" si="9"/>
        <v>1</v>
      </c>
      <c r="L61" s="1">
        <f t="shared" si="9"/>
        <v>1</v>
      </c>
      <c r="M61" s="1">
        <f t="shared" si="10"/>
        <v>1</v>
      </c>
      <c r="N61" s="1">
        <f t="shared" si="14"/>
        <v>1</v>
      </c>
      <c r="O61" s="1">
        <f t="shared" si="15"/>
        <v>1</v>
      </c>
      <c r="P61" s="1">
        <f t="shared" si="3"/>
        <v>77</v>
      </c>
      <c r="Q61" s="90">
        <f t="shared" si="11"/>
        <v>1</v>
      </c>
      <c r="R61" s="90">
        <f t="shared" si="4"/>
        <v>1</v>
      </c>
      <c r="S61" s="90">
        <f t="shared" si="5"/>
        <v>1</v>
      </c>
    </row>
    <row r="62" spans="8:19">
      <c r="H62" s="1">
        <f t="shared" si="13"/>
        <v>78</v>
      </c>
      <c r="I62" s="1">
        <f>I59+0.6*(I64-I59)</f>
        <v>0.17591799999999999</v>
      </c>
      <c r="J62" s="1">
        <f t="shared" si="9"/>
        <v>1</v>
      </c>
      <c r="K62" s="1">
        <f t="shared" si="9"/>
        <v>1</v>
      </c>
      <c r="L62" s="1">
        <f t="shared" si="9"/>
        <v>1</v>
      </c>
      <c r="M62" s="1">
        <f t="shared" si="10"/>
        <v>1</v>
      </c>
      <c r="N62" s="1">
        <f t="shared" si="14"/>
        <v>1</v>
      </c>
      <c r="O62" s="1">
        <f t="shared" si="15"/>
        <v>1</v>
      </c>
      <c r="P62" s="1">
        <f t="shared" si="3"/>
        <v>78</v>
      </c>
      <c r="Q62" s="90">
        <f t="shared" si="11"/>
        <v>1</v>
      </c>
      <c r="R62" s="90">
        <f t="shared" si="4"/>
        <v>1</v>
      </c>
      <c r="S62" s="90">
        <f t="shared" si="5"/>
        <v>1</v>
      </c>
    </row>
    <row r="63" spans="8:19">
      <c r="H63" s="1">
        <f t="shared" si="13"/>
        <v>79</v>
      </c>
      <c r="I63" s="1">
        <f>I59+0.8*(I64-I59)</f>
        <v>0.170844</v>
      </c>
      <c r="J63" s="1">
        <f t="shared" si="9"/>
        <v>1</v>
      </c>
      <c r="K63" s="1">
        <f t="shared" si="9"/>
        <v>1</v>
      </c>
      <c r="L63" s="1">
        <f t="shared" si="9"/>
        <v>1</v>
      </c>
      <c r="M63" s="1">
        <f t="shared" si="10"/>
        <v>1</v>
      </c>
      <c r="N63" s="1">
        <f t="shared" si="14"/>
        <v>1</v>
      </c>
      <c r="O63" s="1">
        <f t="shared" si="15"/>
        <v>1</v>
      </c>
      <c r="P63" s="1">
        <f t="shared" si="3"/>
        <v>79</v>
      </c>
      <c r="Q63" s="90">
        <f t="shared" si="11"/>
        <v>1</v>
      </c>
      <c r="R63" s="90">
        <f t="shared" si="4"/>
        <v>1</v>
      </c>
      <c r="S63" s="90">
        <f t="shared" si="5"/>
        <v>1</v>
      </c>
    </row>
    <row r="64" spans="8:19">
      <c r="H64" s="1">
        <f t="shared" si="13"/>
        <v>80</v>
      </c>
      <c r="I64" s="1">
        <v>0.16577</v>
      </c>
      <c r="J64" s="1">
        <f t="shared" si="9"/>
        <v>1</v>
      </c>
      <c r="K64" s="1">
        <f t="shared" si="9"/>
        <v>1</v>
      </c>
      <c r="L64" s="1">
        <f t="shared" si="9"/>
        <v>1</v>
      </c>
      <c r="M64" s="1">
        <f t="shared" si="10"/>
        <v>1</v>
      </c>
      <c r="N64" s="1">
        <f t="shared" si="14"/>
        <v>1</v>
      </c>
      <c r="O64" s="1">
        <f t="shared" si="15"/>
        <v>1</v>
      </c>
      <c r="P64" s="1">
        <f t="shared" si="3"/>
        <v>80</v>
      </c>
      <c r="Q64" s="90">
        <f t="shared" si="11"/>
        <v>1</v>
      </c>
      <c r="R64" s="90">
        <f t="shared" si="4"/>
        <v>1</v>
      </c>
      <c r="S64" s="90">
        <f t="shared" si="5"/>
        <v>1</v>
      </c>
    </row>
    <row r="65" spans="8:19">
      <c r="H65" s="1">
        <f t="shared" si="13"/>
        <v>81</v>
      </c>
      <c r="I65" s="1">
        <f>I64+0.2*(I69-I64)</f>
        <v>0.16147</v>
      </c>
      <c r="J65" s="1">
        <f t="shared" si="9"/>
        <v>1</v>
      </c>
      <c r="K65" s="1">
        <f t="shared" si="9"/>
        <v>1</v>
      </c>
      <c r="L65" s="1">
        <f t="shared" si="9"/>
        <v>1</v>
      </c>
      <c r="M65" s="1">
        <f t="shared" si="10"/>
        <v>1</v>
      </c>
      <c r="N65" s="1">
        <f t="shared" si="14"/>
        <v>1</v>
      </c>
      <c r="O65" s="1">
        <f t="shared" si="15"/>
        <v>1</v>
      </c>
      <c r="P65" s="1">
        <f t="shared" si="3"/>
        <v>81</v>
      </c>
      <c r="Q65" s="90">
        <f t="shared" si="11"/>
        <v>1</v>
      </c>
      <c r="R65" s="90">
        <f t="shared" si="4"/>
        <v>1</v>
      </c>
      <c r="S65" s="90">
        <f t="shared" si="5"/>
        <v>1</v>
      </c>
    </row>
    <row r="66" spans="8:19">
      <c r="H66" s="1">
        <f t="shared" si="13"/>
        <v>82</v>
      </c>
      <c r="I66" s="1">
        <f>I64+0.4*(I69-I64)</f>
        <v>0.15717</v>
      </c>
      <c r="J66" s="1">
        <f t="shared" si="9"/>
        <v>1</v>
      </c>
      <c r="K66" s="1">
        <f t="shared" si="9"/>
        <v>1</v>
      </c>
      <c r="L66" s="1">
        <f t="shared" si="9"/>
        <v>1</v>
      </c>
      <c r="M66" s="1">
        <f t="shared" si="10"/>
        <v>1</v>
      </c>
      <c r="N66" s="1">
        <f t="shared" si="14"/>
        <v>1</v>
      </c>
      <c r="O66" s="1">
        <f t="shared" si="15"/>
        <v>1</v>
      </c>
      <c r="P66" s="1">
        <f t="shared" si="3"/>
        <v>82</v>
      </c>
      <c r="Q66" s="90">
        <f t="shared" si="11"/>
        <v>1</v>
      </c>
      <c r="R66" s="90">
        <f t="shared" si="4"/>
        <v>1</v>
      </c>
      <c r="S66" s="90">
        <f t="shared" si="5"/>
        <v>1</v>
      </c>
    </row>
    <row r="67" spans="8:19">
      <c r="H67" s="1">
        <f t="shared" si="13"/>
        <v>83</v>
      </c>
      <c r="I67" s="1">
        <f>I64+0.6*(I69-I64)</f>
        <v>0.15287000000000001</v>
      </c>
      <c r="J67" s="1">
        <f t="shared" si="9"/>
        <v>1</v>
      </c>
      <c r="K67" s="1">
        <f t="shared" si="9"/>
        <v>1</v>
      </c>
      <c r="L67" s="1">
        <f t="shared" si="9"/>
        <v>1</v>
      </c>
      <c r="M67" s="1">
        <f t="shared" si="10"/>
        <v>1</v>
      </c>
      <c r="N67" s="1">
        <f t="shared" si="14"/>
        <v>1</v>
      </c>
      <c r="O67" s="1">
        <f t="shared" si="15"/>
        <v>1</v>
      </c>
      <c r="P67" s="1">
        <f t="shared" si="3"/>
        <v>83</v>
      </c>
      <c r="Q67" s="90">
        <f t="shared" si="11"/>
        <v>1</v>
      </c>
      <c r="R67" s="90">
        <f t="shared" si="4"/>
        <v>1</v>
      </c>
      <c r="S67" s="90">
        <f t="shared" si="5"/>
        <v>1</v>
      </c>
    </row>
    <row r="68" spans="8:19">
      <c r="H68" s="1">
        <f t="shared" si="13"/>
        <v>84</v>
      </c>
      <c r="I68" s="1">
        <f>I64+0.8*(I69-I64)</f>
        <v>0.14857000000000001</v>
      </c>
      <c r="J68" s="1">
        <f t="shared" si="9"/>
        <v>1</v>
      </c>
      <c r="K68" s="1">
        <f t="shared" si="9"/>
        <v>1</v>
      </c>
      <c r="L68" s="1">
        <f t="shared" si="9"/>
        <v>1</v>
      </c>
      <c r="M68" s="1">
        <f t="shared" si="10"/>
        <v>1</v>
      </c>
      <c r="N68" s="1">
        <f t="shared" si="14"/>
        <v>1</v>
      </c>
      <c r="O68" s="1">
        <f t="shared" si="15"/>
        <v>1</v>
      </c>
      <c r="P68" s="1">
        <f t="shared" si="3"/>
        <v>84</v>
      </c>
      <c r="Q68" s="90">
        <f t="shared" si="11"/>
        <v>1</v>
      </c>
      <c r="R68" s="90">
        <f t="shared" si="4"/>
        <v>1</v>
      </c>
      <c r="S68" s="90">
        <f t="shared" si="5"/>
        <v>1</v>
      </c>
    </row>
    <row r="69" spans="8:19">
      <c r="H69" s="1">
        <f t="shared" si="13"/>
        <v>85</v>
      </c>
      <c r="I69" s="1">
        <v>0.14427000000000001</v>
      </c>
      <c r="J69" s="1">
        <f t="shared" si="9"/>
        <v>1</v>
      </c>
      <c r="K69" s="1">
        <f t="shared" si="9"/>
        <v>1</v>
      </c>
      <c r="L69" s="1">
        <f t="shared" si="9"/>
        <v>1</v>
      </c>
      <c r="M69" s="1">
        <f t="shared" si="10"/>
        <v>1</v>
      </c>
      <c r="N69" s="1">
        <f t="shared" si="14"/>
        <v>1</v>
      </c>
      <c r="O69" s="1">
        <f t="shared" si="15"/>
        <v>1</v>
      </c>
      <c r="P69" s="1">
        <f t="shared" si="3"/>
        <v>85</v>
      </c>
      <c r="Q69" s="90">
        <f t="shared" si="11"/>
        <v>1</v>
      </c>
      <c r="R69" s="90">
        <f t="shared" si="4"/>
        <v>1</v>
      </c>
      <c r="S69" s="90">
        <f t="shared" si="5"/>
        <v>1</v>
      </c>
    </row>
    <row r="70" spans="8:19">
      <c r="H70" s="1">
        <f t="shared" si="13"/>
        <v>86</v>
      </c>
      <c r="I70" s="1">
        <f>I69+0.2*(I74-I69)</f>
        <v>0.14061600000000002</v>
      </c>
      <c r="J70" s="1">
        <f t="shared" si="9"/>
        <v>1</v>
      </c>
      <c r="K70" s="1">
        <f t="shared" si="9"/>
        <v>1</v>
      </c>
      <c r="L70" s="1">
        <f t="shared" si="9"/>
        <v>1</v>
      </c>
      <c r="M70" s="1">
        <f t="shared" si="10"/>
        <v>1</v>
      </c>
      <c r="N70" s="1">
        <f t="shared" si="14"/>
        <v>1</v>
      </c>
      <c r="O70" s="1">
        <f t="shared" si="15"/>
        <v>1</v>
      </c>
      <c r="P70" s="1">
        <f t="shared" si="3"/>
        <v>86</v>
      </c>
      <c r="Q70" s="90">
        <f t="shared" si="11"/>
        <v>1</v>
      </c>
      <c r="R70" s="90">
        <f t="shared" si="4"/>
        <v>1</v>
      </c>
      <c r="S70" s="90">
        <f t="shared" si="5"/>
        <v>1</v>
      </c>
    </row>
    <row r="71" spans="8:19">
      <c r="H71" s="1">
        <f t="shared" si="13"/>
        <v>87</v>
      </c>
      <c r="I71" s="1">
        <f>I69+0.4*(I74-I69)</f>
        <v>0.136962</v>
      </c>
      <c r="J71" s="1">
        <f t="shared" si="9"/>
        <v>1</v>
      </c>
      <c r="K71" s="1">
        <f t="shared" si="9"/>
        <v>1</v>
      </c>
      <c r="L71" s="1">
        <f t="shared" si="9"/>
        <v>1</v>
      </c>
      <c r="M71" s="1">
        <f t="shared" si="10"/>
        <v>1</v>
      </c>
      <c r="N71" s="1">
        <f t="shared" si="14"/>
        <v>1</v>
      </c>
      <c r="O71" s="1">
        <f t="shared" si="15"/>
        <v>1</v>
      </c>
      <c r="P71" s="1">
        <f t="shared" si="3"/>
        <v>87</v>
      </c>
      <c r="Q71" s="90">
        <f t="shared" si="11"/>
        <v>1</v>
      </c>
      <c r="R71" s="90">
        <f t="shared" si="4"/>
        <v>1</v>
      </c>
      <c r="S71" s="90">
        <f t="shared" si="5"/>
        <v>1</v>
      </c>
    </row>
    <row r="72" spans="8:19">
      <c r="H72" s="1">
        <f t="shared" si="13"/>
        <v>88</v>
      </c>
      <c r="I72" s="1">
        <f>I69+0.6*(I74-I69)</f>
        <v>0.13330800000000001</v>
      </c>
      <c r="J72" s="1">
        <f t="shared" si="9"/>
        <v>1</v>
      </c>
      <c r="K72" s="1">
        <f t="shared" si="9"/>
        <v>1</v>
      </c>
      <c r="L72" s="1">
        <f t="shared" si="9"/>
        <v>1</v>
      </c>
      <c r="M72" s="1">
        <f t="shared" si="10"/>
        <v>1</v>
      </c>
      <c r="N72" s="1">
        <f t="shared" si="14"/>
        <v>1</v>
      </c>
      <c r="O72" s="1">
        <f t="shared" si="15"/>
        <v>1</v>
      </c>
      <c r="P72" s="1">
        <f t="shared" si="3"/>
        <v>88</v>
      </c>
      <c r="Q72" s="90">
        <f t="shared" si="11"/>
        <v>1</v>
      </c>
      <c r="R72" s="90">
        <f t="shared" si="4"/>
        <v>1</v>
      </c>
      <c r="S72" s="90">
        <f t="shared" si="5"/>
        <v>1</v>
      </c>
    </row>
    <row r="73" spans="8:19">
      <c r="H73" s="1">
        <f t="shared" si="13"/>
        <v>89</v>
      </c>
      <c r="I73" s="1">
        <f>I69+0.8*(I74-I69)</f>
        <v>0.12965399999999999</v>
      </c>
      <c r="J73" s="1">
        <f t="shared" si="9"/>
        <v>1</v>
      </c>
      <c r="K73" s="1">
        <f t="shared" si="9"/>
        <v>1</v>
      </c>
      <c r="L73" s="1">
        <f t="shared" si="9"/>
        <v>1</v>
      </c>
      <c r="M73" s="1">
        <f t="shared" si="10"/>
        <v>1</v>
      </c>
      <c r="N73" s="1">
        <f t="shared" si="14"/>
        <v>1</v>
      </c>
      <c r="O73" s="1">
        <f t="shared" si="15"/>
        <v>1</v>
      </c>
      <c r="P73" s="1">
        <f t="shared" ref="P73:P134" si="16">H73</f>
        <v>89</v>
      </c>
      <c r="Q73" s="90">
        <f t="shared" si="11"/>
        <v>1</v>
      </c>
      <c r="R73" s="90">
        <f t="shared" ref="R73:R134" si="17">IF(K73&gt;0.5,N73,0)</f>
        <v>1</v>
      </c>
      <c r="S73" s="90">
        <f t="shared" ref="S73:S134" si="18">IF(L73&gt;0.5,O73,0)</f>
        <v>1</v>
      </c>
    </row>
    <row r="74" spans="8:19">
      <c r="H74" s="1">
        <f t="shared" si="13"/>
        <v>90</v>
      </c>
      <c r="I74" s="1">
        <v>0.126</v>
      </c>
      <c r="J74" s="1">
        <f t="shared" ref="J74:L134" si="19">IF((0.001*J$6*(($I74*$E$4)+$E$6))&gt;1,1,(0.001*J$6*(($I74*$E$4)+$E$6)))</f>
        <v>1</v>
      </c>
      <c r="K74" s="1">
        <f t="shared" si="19"/>
        <v>1</v>
      </c>
      <c r="L74" s="1">
        <f t="shared" si="19"/>
        <v>1</v>
      </c>
      <c r="M74" s="1">
        <f t="shared" ref="M74:M134" si="20">IF(J74&gt;0.68,1.563*J74-0.563,0.5)</f>
        <v>1</v>
      </c>
      <c r="N74" s="1">
        <f t="shared" si="14"/>
        <v>1</v>
      </c>
      <c r="O74" s="1">
        <f t="shared" si="15"/>
        <v>1</v>
      </c>
      <c r="P74" s="1">
        <f t="shared" si="16"/>
        <v>90</v>
      </c>
      <c r="Q74" s="90">
        <f t="shared" ref="Q74:Q134" si="21">IF(J74&gt;0.5,M74,0)</f>
        <v>1</v>
      </c>
      <c r="R74" s="90">
        <f t="shared" si="17"/>
        <v>1</v>
      </c>
      <c r="S74" s="90">
        <f t="shared" si="18"/>
        <v>1</v>
      </c>
    </row>
    <row r="75" spans="8:19">
      <c r="H75" s="1">
        <f t="shared" ref="H75:H134" si="22">H74+1</f>
        <v>91</v>
      </c>
      <c r="I75" s="1">
        <f>I74+0.2*(I79-I74)</f>
        <v>0.12288200000000001</v>
      </c>
      <c r="J75" s="1">
        <f t="shared" si="19"/>
        <v>1</v>
      </c>
      <c r="K75" s="1">
        <f t="shared" si="19"/>
        <v>1</v>
      </c>
      <c r="L75" s="1">
        <f t="shared" si="19"/>
        <v>1</v>
      </c>
      <c r="M75" s="1">
        <f t="shared" si="20"/>
        <v>1</v>
      </c>
      <c r="N75" s="1">
        <f t="shared" si="14"/>
        <v>1</v>
      </c>
      <c r="O75" s="1">
        <f t="shared" si="15"/>
        <v>1</v>
      </c>
      <c r="P75" s="1">
        <f t="shared" si="16"/>
        <v>91</v>
      </c>
      <c r="Q75" s="90">
        <f t="shared" si="21"/>
        <v>1</v>
      </c>
      <c r="R75" s="90">
        <f t="shared" si="17"/>
        <v>1</v>
      </c>
      <c r="S75" s="90">
        <f t="shared" si="18"/>
        <v>1</v>
      </c>
    </row>
    <row r="76" spans="8:19">
      <c r="H76" s="1">
        <f t="shared" si="22"/>
        <v>92</v>
      </c>
      <c r="I76" s="1">
        <f>I74+0.4*(I79-I74)</f>
        <v>0.119764</v>
      </c>
      <c r="J76" s="1">
        <f t="shared" si="19"/>
        <v>1</v>
      </c>
      <c r="K76" s="1">
        <f t="shared" si="19"/>
        <v>1</v>
      </c>
      <c r="L76" s="1">
        <f t="shared" si="19"/>
        <v>1</v>
      </c>
      <c r="M76" s="1">
        <f t="shared" si="20"/>
        <v>1</v>
      </c>
      <c r="N76" s="1">
        <f t="shared" si="14"/>
        <v>1</v>
      </c>
      <c r="O76" s="1">
        <f t="shared" si="15"/>
        <v>1</v>
      </c>
      <c r="P76" s="1">
        <f t="shared" si="16"/>
        <v>92</v>
      </c>
      <c r="Q76" s="90">
        <f t="shared" si="21"/>
        <v>1</v>
      </c>
      <c r="R76" s="90">
        <f t="shared" si="17"/>
        <v>1</v>
      </c>
      <c r="S76" s="90">
        <f t="shared" si="18"/>
        <v>1</v>
      </c>
    </row>
    <row r="77" spans="8:19">
      <c r="H77" s="1">
        <f t="shared" si="22"/>
        <v>93</v>
      </c>
      <c r="I77" s="1">
        <f>I74+0.6*(I79-I74)</f>
        <v>0.116646</v>
      </c>
      <c r="J77" s="1">
        <f t="shared" si="19"/>
        <v>1</v>
      </c>
      <c r="K77" s="1">
        <f t="shared" si="19"/>
        <v>1</v>
      </c>
      <c r="L77" s="1">
        <f t="shared" si="19"/>
        <v>1</v>
      </c>
      <c r="M77" s="1">
        <f t="shared" si="20"/>
        <v>1</v>
      </c>
      <c r="N77" s="1">
        <f t="shared" si="14"/>
        <v>1</v>
      </c>
      <c r="O77" s="1">
        <f t="shared" si="15"/>
        <v>1</v>
      </c>
      <c r="P77" s="1">
        <f t="shared" si="16"/>
        <v>93</v>
      </c>
      <c r="Q77" s="90">
        <f t="shared" si="21"/>
        <v>1</v>
      </c>
      <c r="R77" s="90">
        <f t="shared" si="17"/>
        <v>1</v>
      </c>
      <c r="S77" s="90">
        <f t="shared" si="18"/>
        <v>1</v>
      </c>
    </row>
    <row r="78" spans="8:19">
      <c r="H78" s="1">
        <f t="shared" si="22"/>
        <v>94</v>
      </c>
      <c r="I78" s="1">
        <f>I74+0.8*(I79-I74)</f>
        <v>0.11352799999999999</v>
      </c>
      <c r="J78" s="1">
        <f t="shared" si="19"/>
        <v>1</v>
      </c>
      <c r="K78" s="1">
        <f t="shared" si="19"/>
        <v>1</v>
      </c>
      <c r="L78" s="1">
        <f t="shared" si="19"/>
        <v>1</v>
      </c>
      <c r="M78" s="1">
        <f t="shared" si="20"/>
        <v>1</v>
      </c>
      <c r="N78" s="1">
        <f t="shared" si="14"/>
        <v>1</v>
      </c>
      <c r="O78" s="1">
        <f t="shared" si="15"/>
        <v>1</v>
      </c>
      <c r="P78" s="1">
        <f t="shared" si="16"/>
        <v>94</v>
      </c>
      <c r="Q78" s="90">
        <f t="shared" si="21"/>
        <v>1</v>
      </c>
      <c r="R78" s="90">
        <f t="shared" si="17"/>
        <v>1</v>
      </c>
      <c r="S78" s="90">
        <f t="shared" si="18"/>
        <v>1</v>
      </c>
    </row>
    <row r="79" spans="8:19">
      <c r="H79" s="1">
        <f t="shared" si="22"/>
        <v>95</v>
      </c>
      <c r="I79" s="1">
        <v>0.11040999999999999</v>
      </c>
      <c r="J79" s="1">
        <f t="shared" si="19"/>
        <v>1</v>
      </c>
      <c r="K79" s="1">
        <f t="shared" si="19"/>
        <v>1</v>
      </c>
      <c r="L79" s="1">
        <f t="shared" si="19"/>
        <v>1</v>
      </c>
      <c r="M79" s="1">
        <f t="shared" si="20"/>
        <v>1</v>
      </c>
      <c r="N79" s="1">
        <f t="shared" si="14"/>
        <v>1</v>
      </c>
      <c r="O79" s="1">
        <f t="shared" si="15"/>
        <v>1</v>
      </c>
      <c r="P79" s="1">
        <f t="shared" si="16"/>
        <v>95</v>
      </c>
      <c r="Q79" s="90">
        <f t="shared" si="21"/>
        <v>1</v>
      </c>
      <c r="R79" s="90">
        <f t="shared" si="17"/>
        <v>1</v>
      </c>
      <c r="S79" s="90">
        <f t="shared" si="18"/>
        <v>1</v>
      </c>
    </row>
    <row r="80" spans="8:19">
      <c r="H80" s="1">
        <f t="shared" si="22"/>
        <v>96</v>
      </c>
      <c r="I80" s="1">
        <f>I79+0.2*(I84-I79)</f>
        <v>0.1077412</v>
      </c>
      <c r="J80" s="1">
        <f t="shared" si="19"/>
        <v>1</v>
      </c>
      <c r="K80" s="1">
        <f t="shared" si="19"/>
        <v>1</v>
      </c>
      <c r="L80" s="1">
        <f t="shared" si="19"/>
        <v>1</v>
      </c>
      <c r="M80" s="1">
        <f t="shared" si="20"/>
        <v>1</v>
      </c>
      <c r="N80" s="1">
        <f t="shared" si="14"/>
        <v>1</v>
      </c>
      <c r="O80" s="1">
        <f t="shared" si="15"/>
        <v>1</v>
      </c>
      <c r="P80" s="1">
        <f t="shared" si="16"/>
        <v>96</v>
      </c>
      <c r="Q80" s="90">
        <f t="shared" si="21"/>
        <v>1</v>
      </c>
      <c r="R80" s="90">
        <f t="shared" si="17"/>
        <v>1</v>
      </c>
      <c r="S80" s="90">
        <f t="shared" si="18"/>
        <v>1</v>
      </c>
    </row>
    <row r="81" spans="8:19">
      <c r="H81" s="1">
        <f t="shared" si="22"/>
        <v>97</v>
      </c>
      <c r="I81" s="1">
        <f>I79+0.4*(I84-I79)</f>
        <v>0.1050724</v>
      </c>
      <c r="J81" s="1">
        <f t="shared" si="19"/>
        <v>1</v>
      </c>
      <c r="K81" s="1">
        <f t="shared" si="19"/>
        <v>1</v>
      </c>
      <c r="L81" s="1">
        <f t="shared" si="19"/>
        <v>1</v>
      </c>
      <c r="M81" s="1">
        <f t="shared" si="20"/>
        <v>1</v>
      </c>
      <c r="N81" s="1">
        <f t="shared" si="14"/>
        <v>1</v>
      </c>
      <c r="O81" s="1">
        <f t="shared" si="15"/>
        <v>1</v>
      </c>
      <c r="P81" s="1">
        <f t="shared" si="16"/>
        <v>97</v>
      </c>
      <c r="Q81" s="90">
        <f t="shared" si="21"/>
        <v>1</v>
      </c>
      <c r="R81" s="90">
        <f t="shared" si="17"/>
        <v>1</v>
      </c>
      <c r="S81" s="90">
        <f t="shared" si="18"/>
        <v>1</v>
      </c>
    </row>
    <row r="82" spans="8:19">
      <c r="H82" s="1">
        <f t="shared" si="22"/>
        <v>98</v>
      </c>
      <c r="I82" s="1">
        <f>I79+0.6*(I84-I79)</f>
        <v>0.1024036</v>
      </c>
      <c r="J82" s="1">
        <f t="shared" si="19"/>
        <v>0.9792287999999999</v>
      </c>
      <c r="K82" s="1">
        <f t="shared" si="19"/>
        <v>1</v>
      </c>
      <c r="L82" s="1">
        <f t="shared" si="19"/>
        <v>1</v>
      </c>
      <c r="M82" s="1">
        <f t="shared" si="20"/>
        <v>0.96753461439999988</v>
      </c>
      <c r="N82" s="1">
        <f t="shared" si="14"/>
        <v>1</v>
      </c>
      <c r="O82" s="1">
        <f t="shared" si="15"/>
        <v>1</v>
      </c>
      <c r="P82" s="1">
        <f t="shared" si="16"/>
        <v>98</v>
      </c>
      <c r="Q82" s="90">
        <f t="shared" si="21"/>
        <v>0.96753461439999988</v>
      </c>
      <c r="R82" s="90">
        <f t="shared" si="17"/>
        <v>1</v>
      </c>
      <c r="S82" s="90">
        <f t="shared" si="18"/>
        <v>1</v>
      </c>
    </row>
    <row r="83" spans="8:19">
      <c r="H83" s="1">
        <f t="shared" si="22"/>
        <v>99</v>
      </c>
      <c r="I83" s="1">
        <f>I79+0.8*(I84-I79)</f>
        <v>9.9734799999999998E-2</v>
      </c>
      <c r="J83" s="1">
        <f t="shared" si="19"/>
        <v>0.95787840000000002</v>
      </c>
      <c r="K83" s="1">
        <f t="shared" si="19"/>
        <v>1</v>
      </c>
      <c r="L83" s="1">
        <f t="shared" si="19"/>
        <v>1</v>
      </c>
      <c r="M83" s="1">
        <f t="shared" si="20"/>
        <v>0.93416393920000007</v>
      </c>
      <c r="N83" s="1">
        <f t="shared" si="14"/>
        <v>1</v>
      </c>
      <c r="O83" s="1">
        <f t="shared" si="15"/>
        <v>1</v>
      </c>
      <c r="P83" s="1">
        <f t="shared" si="16"/>
        <v>99</v>
      </c>
      <c r="Q83" s="90">
        <f t="shared" si="21"/>
        <v>0.93416393920000007</v>
      </c>
      <c r="R83" s="90">
        <f t="shared" si="17"/>
        <v>1</v>
      </c>
      <c r="S83" s="90">
        <f t="shared" si="18"/>
        <v>1</v>
      </c>
    </row>
    <row r="84" spans="8:19">
      <c r="H84" s="1">
        <f t="shared" si="22"/>
        <v>100</v>
      </c>
      <c r="I84" s="1">
        <v>9.7066E-2</v>
      </c>
      <c r="J84" s="1">
        <f t="shared" si="19"/>
        <v>0.93652800000000003</v>
      </c>
      <c r="K84" s="1">
        <f t="shared" si="19"/>
        <v>0.99506100000000008</v>
      </c>
      <c r="L84" s="1">
        <f t="shared" si="19"/>
        <v>1</v>
      </c>
      <c r="M84" s="1">
        <f t="shared" si="20"/>
        <v>0.90079326400000004</v>
      </c>
      <c r="N84" s="1">
        <f t="shared" si="14"/>
        <v>0.99228034300000023</v>
      </c>
      <c r="O84" s="1">
        <f t="shared" si="15"/>
        <v>1</v>
      </c>
      <c r="P84" s="1">
        <f t="shared" si="16"/>
        <v>100</v>
      </c>
      <c r="Q84" s="90">
        <f t="shared" si="21"/>
        <v>0.90079326400000004</v>
      </c>
      <c r="R84" s="90">
        <f t="shared" si="17"/>
        <v>0.99228034300000023</v>
      </c>
      <c r="S84" s="90">
        <f t="shared" si="18"/>
        <v>1</v>
      </c>
    </row>
    <row r="85" spans="8:19">
      <c r="H85" s="1">
        <f t="shared" si="22"/>
        <v>101</v>
      </c>
      <c r="I85" s="1">
        <f>I84+0.2*(I89-I84)</f>
        <v>9.4772200000000001E-2</v>
      </c>
      <c r="J85" s="1">
        <f t="shared" si="19"/>
        <v>0.91817760000000004</v>
      </c>
      <c r="K85" s="1">
        <f t="shared" si="19"/>
        <v>0.97556370000000014</v>
      </c>
      <c r="L85" s="1">
        <f t="shared" si="19"/>
        <v>1</v>
      </c>
      <c r="M85" s="1">
        <f t="shared" si="20"/>
        <v>0.87211158880000017</v>
      </c>
      <c r="N85" s="1">
        <f t="shared" si="14"/>
        <v>0.96180606310000027</v>
      </c>
      <c r="O85" s="1">
        <f t="shared" si="15"/>
        <v>1</v>
      </c>
      <c r="P85" s="1">
        <f t="shared" si="16"/>
        <v>101</v>
      </c>
      <c r="Q85" s="90">
        <f t="shared" si="21"/>
        <v>0.87211158880000017</v>
      </c>
      <c r="R85" s="90">
        <f t="shared" si="17"/>
        <v>0.96180606310000027</v>
      </c>
      <c r="S85" s="90">
        <f t="shared" si="18"/>
        <v>1</v>
      </c>
    </row>
    <row r="86" spans="8:19">
      <c r="H86" s="1">
        <f t="shared" si="22"/>
        <v>102</v>
      </c>
      <c r="I86" s="1">
        <f>I84+0.4*(I89-I84)</f>
        <v>9.2478400000000002E-2</v>
      </c>
      <c r="J86" s="1">
        <f t="shared" si="19"/>
        <v>0.89982720000000005</v>
      </c>
      <c r="K86" s="1">
        <f t="shared" si="19"/>
        <v>0.95606640000000009</v>
      </c>
      <c r="L86" s="1">
        <f t="shared" si="19"/>
        <v>1</v>
      </c>
      <c r="M86" s="1">
        <f t="shared" si="20"/>
        <v>0.84342991360000008</v>
      </c>
      <c r="N86" s="1">
        <f t="shared" si="14"/>
        <v>0.9313317832000001</v>
      </c>
      <c r="O86" s="1">
        <f t="shared" si="15"/>
        <v>1</v>
      </c>
      <c r="P86" s="1">
        <f t="shared" si="16"/>
        <v>102</v>
      </c>
      <c r="Q86" s="90">
        <f t="shared" si="21"/>
        <v>0.84342991360000008</v>
      </c>
      <c r="R86" s="90">
        <f t="shared" si="17"/>
        <v>0.9313317832000001</v>
      </c>
      <c r="S86" s="90">
        <f t="shared" si="18"/>
        <v>1</v>
      </c>
    </row>
    <row r="87" spans="8:19">
      <c r="H87" s="1">
        <f t="shared" si="22"/>
        <v>103</v>
      </c>
      <c r="I87" s="1">
        <f>I84+0.6*(I89-I84)</f>
        <v>9.0184600000000004E-2</v>
      </c>
      <c r="J87" s="1">
        <f t="shared" si="19"/>
        <v>0.88147680000000006</v>
      </c>
      <c r="K87" s="1">
        <f t="shared" si="19"/>
        <v>0.93656910000000015</v>
      </c>
      <c r="L87" s="1">
        <f t="shared" si="19"/>
        <v>0.99166140000000003</v>
      </c>
      <c r="M87" s="1">
        <f t="shared" si="20"/>
        <v>0.81474823839999999</v>
      </c>
      <c r="N87" s="1">
        <f t="shared" si="14"/>
        <v>0.90085750330000014</v>
      </c>
      <c r="O87" s="1">
        <f t="shared" si="15"/>
        <v>0.98696676820000007</v>
      </c>
      <c r="P87" s="1">
        <f t="shared" si="16"/>
        <v>103</v>
      </c>
      <c r="Q87" s="90">
        <f t="shared" si="21"/>
        <v>0.81474823839999999</v>
      </c>
      <c r="R87" s="90">
        <f t="shared" si="17"/>
        <v>0.90085750330000014</v>
      </c>
      <c r="S87" s="90">
        <f t="shared" si="18"/>
        <v>0.98696676820000007</v>
      </c>
    </row>
    <row r="88" spans="8:19">
      <c r="H88" s="1">
        <f t="shared" si="22"/>
        <v>104</v>
      </c>
      <c r="I88" s="1">
        <f>I84+0.8*(I89-I84)</f>
        <v>8.7890800000000005E-2</v>
      </c>
      <c r="J88" s="1">
        <f t="shared" si="19"/>
        <v>0.86312640000000007</v>
      </c>
      <c r="K88" s="1">
        <f t="shared" si="19"/>
        <v>0.9170718000000001</v>
      </c>
      <c r="L88" s="1">
        <f t="shared" si="19"/>
        <v>0.97101720000000002</v>
      </c>
      <c r="M88" s="1">
        <f t="shared" si="20"/>
        <v>0.78606656320000012</v>
      </c>
      <c r="N88" s="1">
        <f t="shared" si="14"/>
        <v>0.87038322340000018</v>
      </c>
      <c r="O88" s="1">
        <f t="shared" si="15"/>
        <v>0.95469988360000002</v>
      </c>
      <c r="P88" s="1">
        <f t="shared" si="16"/>
        <v>104</v>
      </c>
      <c r="Q88" s="90">
        <f t="shared" si="21"/>
        <v>0.78606656320000012</v>
      </c>
      <c r="R88" s="90">
        <f t="shared" si="17"/>
        <v>0.87038322340000018</v>
      </c>
      <c r="S88" s="90">
        <f t="shared" si="18"/>
        <v>0.95469988360000002</v>
      </c>
    </row>
    <row r="89" spans="8:19">
      <c r="H89" s="1">
        <f t="shared" si="22"/>
        <v>105</v>
      </c>
      <c r="I89" s="1">
        <v>8.5597000000000006E-2</v>
      </c>
      <c r="J89" s="1">
        <f t="shared" si="19"/>
        <v>0.84477600000000008</v>
      </c>
      <c r="K89" s="1">
        <f t="shared" si="19"/>
        <v>0.89757450000000016</v>
      </c>
      <c r="L89" s="1">
        <f t="shared" si="19"/>
        <v>0.95037300000000002</v>
      </c>
      <c r="M89" s="1">
        <f t="shared" si="20"/>
        <v>0.75738488800000003</v>
      </c>
      <c r="N89" s="1">
        <f t="shared" ref="N89:N134" si="23">IF(K89&gt;0.68,1.563*K89-0.563,0.5)</f>
        <v>0.83990894350000023</v>
      </c>
      <c r="O89" s="1">
        <f t="shared" ref="O89:O134" si="24">IF(L89&gt;0.68,1.563*L89-0.563,0.5)</f>
        <v>0.92243299899999998</v>
      </c>
      <c r="P89" s="1">
        <f t="shared" si="16"/>
        <v>105</v>
      </c>
      <c r="Q89" s="90">
        <f t="shared" si="21"/>
        <v>0.75738488800000003</v>
      </c>
      <c r="R89" s="90">
        <f t="shared" si="17"/>
        <v>0.83990894350000023</v>
      </c>
      <c r="S89" s="90">
        <f t="shared" si="18"/>
        <v>0.92243299899999998</v>
      </c>
    </row>
    <row r="90" spans="8:19">
      <c r="H90" s="1">
        <f t="shared" si="22"/>
        <v>106</v>
      </c>
      <c r="I90" s="1">
        <f>I89+0.2*(I94-I89)</f>
        <v>8.3631780000000003E-2</v>
      </c>
      <c r="J90" s="1">
        <f t="shared" si="19"/>
        <v>0.82905423999999994</v>
      </c>
      <c r="K90" s="1">
        <f t="shared" si="19"/>
        <v>0.88087013000000003</v>
      </c>
      <c r="L90" s="1">
        <f t="shared" si="19"/>
        <v>0.93268601999999989</v>
      </c>
      <c r="M90" s="1">
        <f t="shared" si="20"/>
        <v>0.73281177712000001</v>
      </c>
      <c r="N90" s="1">
        <f t="shared" si="23"/>
        <v>0.81380001319000006</v>
      </c>
      <c r="O90" s="1">
        <f t="shared" si="24"/>
        <v>0.89478824925999989</v>
      </c>
      <c r="P90" s="1">
        <f t="shared" si="16"/>
        <v>106</v>
      </c>
      <c r="Q90" s="90">
        <f t="shared" si="21"/>
        <v>0.73281177712000001</v>
      </c>
      <c r="R90" s="90">
        <f t="shared" si="17"/>
        <v>0.81380001319000006</v>
      </c>
      <c r="S90" s="90">
        <f t="shared" si="18"/>
        <v>0.89478824925999989</v>
      </c>
    </row>
    <row r="91" spans="8:19">
      <c r="H91" s="1">
        <f t="shared" si="22"/>
        <v>107</v>
      </c>
      <c r="I91" s="1">
        <f>I89+0.4*(I94-I89)</f>
        <v>8.1666559999999999E-2</v>
      </c>
      <c r="J91" s="1">
        <f t="shared" si="19"/>
        <v>0.81333248000000002</v>
      </c>
      <c r="K91" s="1">
        <f t="shared" si="19"/>
        <v>0.86416576000000001</v>
      </c>
      <c r="L91" s="1">
        <f t="shared" si="19"/>
        <v>0.91499903999999999</v>
      </c>
      <c r="M91" s="1">
        <f t="shared" si="20"/>
        <v>0.70823866623999998</v>
      </c>
      <c r="N91" s="1">
        <f t="shared" si="23"/>
        <v>0.78769108288000012</v>
      </c>
      <c r="O91" s="1">
        <f t="shared" si="24"/>
        <v>0.86714349952000003</v>
      </c>
      <c r="P91" s="1">
        <f t="shared" si="16"/>
        <v>107</v>
      </c>
      <c r="Q91" s="90">
        <f t="shared" si="21"/>
        <v>0.70823866623999998</v>
      </c>
      <c r="R91" s="90">
        <f t="shared" si="17"/>
        <v>0.78769108288000012</v>
      </c>
      <c r="S91" s="90">
        <f t="shared" si="18"/>
        <v>0.86714349952000003</v>
      </c>
    </row>
    <row r="92" spans="8:19">
      <c r="H92" s="1">
        <f t="shared" si="22"/>
        <v>108</v>
      </c>
      <c r="I92" s="1">
        <f>I89+0.6*(I94-I89)</f>
        <v>7.9701340000000009E-2</v>
      </c>
      <c r="J92" s="1">
        <f t="shared" si="19"/>
        <v>0.79761072000000011</v>
      </c>
      <c r="K92" s="1">
        <f t="shared" si="19"/>
        <v>0.8474613900000002</v>
      </c>
      <c r="L92" s="1">
        <f t="shared" si="19"/>
        <v>0.89731206000000008</v>
      </c>
      <c r="M92" s="1">
        <f t="shared" si="20"/>
        <v>0.68366555536000018</v>
      </c>
      <c r="N92" s="1">
        <f t="shared" si="23"/>
        <v>0.76158215257000039</v>
      </c>
      <c r="O92" s="1">
        <f t="shared" si="24"/>
        <v>0.83949874978000016</v>
      </c>
      <c r="P92" s="1">
        <f t="shared" si="16"/>
        <v>108</v>
      </c>
      <c r="Q92" s="90">
        <f t="shared" si="21"/>
        <v>0.68366555536000018</v>
      </c>
      <c r="R92" s="90">
        <f t="shared" si="17"/>
        <v>0.76158215257000039</v>
      </c>
      <c r="S92" s="90">
        <f t="shared" si="18"/>
        <v>0.83949874978000016</v>
      </c>
    </row>
    <row r="93" spans="8:19">
      <c r="H93" s="1">
        <f t="shared" si="22"/>
        <v>109</v>
      </c>
      <c r="I93" s="1">
        <f>I89+0.8*(I94-I89)</f>
        <v>7.7736120000000006E-2</v>
      </c>
      <c r="J93" s="1">
        <f t="shared" si="19"/>
        <v>0.78188895999999997</v>
      </c>
      <c r="K93" s="1">
        <f t="shared" si="19"/>
        <v>0.83075702000000007</v>
      </c>
      <c r="L93" s="1">
        <f t="shared" si="19"/>
        <v>0.87962507999999995</v>
      </c>
      <c r="M93" s="1">
        <f t="shared" si="20"/>
        <v>0.65909244447999993</v>
      </c>
      <c r="N93" s="1">
        <f t="shared" si="23"/>
        <v>0.73547322226000023</v>
      </c>
      <c r="O93" s="1">
        <f t="shared" si="24"/>
        <v>0.81185400003999986</v>
      </c>
      <c r="P93" s="1">
        <f t="shared" si="16"/>
        <v>109</v>
      </c>
      <c r="Q93" s="90">
        <f t="shared" si="21"/>
        <v>0.65909244447999993</v>
      </c>
      <c r="R93" s="90">
        <f t="shared" si="17"/>
        <v>0.73547322226000023</v>
      </c>
      <c r="S93" s="90">
        <f t="shared" si="18"/>
        <v>0.81185400003999986</v>
      </c>
    </row>
    <row r="94" spans="8:19">
      <c r="H94" s="1">
        <f t="shared" si="22"/>
        <v>110</v>
      </c>
      <c r="I94" s="1">
        <v>7.5770900000000002E-2</v>
      </c>
      <c r="J94" s="1">
        <f t="shared" si="19"/>
        <v>0.76616720000000005</v>
      </c>
      <c r="K94" s="1">
        <f t="shared" si="19"/>
        <v>0.81405265000000004</v>
      </c>
      <c r="L94" s="1">
        <f t="shared" si="19"/>
        <v>0.86193809999999993</v>
      </c>
      <c r="M94" s="1">
        <f t="shared" si="20"/>
        <v>0.63451933360000012</v>
      </c>
      <c r="N94" s="1">
        <f t="shared" si="23"/>
        <v>0.70936429195000006</v>
      </c>
      <c r="O94" s="1">
        <f t="shared" si="24"/>
        <v>0.78420925029999999</v>
      </c>
      <c r="P94" s="1">
        <f t="shared" si="16"/>
        <v>110</v>
      </c>
      <c r="Q94" s="90">
        <f t="shared" si="21"/>
        <v>0.63451933360000012</v>
      </c>
      <c r="R94" s="90">
        <f t="shared" si="17"/>
        <v>0.70936429195000006</v>
      </c>
      <c r="S94" s="90">
        <f t="shared" si="18"/>
        <v>0.78420925029999999</v>
      </c>
    </row>
    <row r="95" spans="8:19">
      <c r="H95" s="1">
        <f t="shared" si="22"/>
        <v>111</v>
      </c>
      <c r="I95" s="1">
        <f>I94+0.2*(I99-I94)</f>
        <v>7.4048320000000001E-2</v>
      </c>
      <c r="J95" s="1">
        <f t="shared" si="19"/>
        <v>0.75238655999999993</v>
      </c>
      <c r="K95" s="1">
        <f t="shared" si="19"/>
        <v>0.79941072000000002</v>
      </c>
      <c r="L95" s="1">
        <f t="shared" si="19"/>
        <v>0.84643487999999989</v>
      </c>
      <c r="M95" s="1">
        <f t="shared" si="20"/>
        <v>0.61298019327999986</v>
      </c>
      <c r="N95" s="1">
        <f t="shared" si="23"/>
        <v>0.68647895536000014</v>
      </c>
      <c r="O95" s="1">
        <f t="shared" si="24"/>
        <v>0.75997771743999976</v>
      </c>
      <c r="P95" s="1">
        <f t="shared" si="16"/>
        <v>111</v>
      </c>
      <c r="Q95" s="90">
        <f t="shared" si="21"/>
        <v>0.61298019327999986</v>
      </c>
      <c r="R95" s="90">
        <f t="shared" si="17"/>
        <v>0.68647895536000014</v>
      </c>
      <c r="S95" s="90">
        <f t="shared" si="18"/>
        <v>0.75997771743999976</v>
      </c>
    </row>
    <row r="96" spans="8:19">
      <c r="H96" s="1">
        <f t="shared" si="22"/>
        <v>112</v>
      </c>
      <c r="I96" s="1">
        <f>I94+0.4*(I99-I94)</f>
        <v>7.2325739999999999E-2</v>
      </c>
      <c r="J96" s="1">
        <f t="shared" si="19"/>
        <v>0.73860592000000003</v>
      </c>
      <c r="K96" s="1">
        <f t="shared" si="19"/>
        <v>0.78476878999999999</v>
      </c>
      <c r="L96" s="1">
        <f t="shared" si="19"/>
        <v>0.83093165999999996</v>
      </c>
      <c r="M96" s="1">
        <f t="shared" si="20"/>
        <v>0.59144105296000005</v>
      </c>
      <c r="N96" s="1">
        <f t="shared" si="23"/>
        <v>0.66359361877</v>
      </c>
      <c r="O96" s="1">
        <f t="shared" si="24"/>
        <v>0.73574618457999996</v>
      </c>
      <c r="P96" s="1">
        <f t="shared" si="16"/>
        <v>112</v>
      </c>
      <c r="Q96" s="90">
        <f t="shared" si="21"/>
        <v>0.59144105296000005</v>
      </c>
      <c r="R96" s="90">
        <f t="shared" si="17"/>
        <v>0.66359361877</v>
      </c>
      <c r="S96" s="90">
        <f t="shared" si="18"/>
        <v>0.73574618457999996</v>
      </c>
    </row>
    <row r="97" spans="8:19">
      <c r="H97" s="1">
        <f t="shared" si="22"/>
        <v>113</v>
      </c>
      <c r="I97" s="1">
        <f>I94+0.6*(I99-I94)</f>
        <v>7.0603159999999998E-2</v>
      </c>
      <c r="J97" s="1">
        <f t="shared" si="19"/>
        <v>0.72482528000000002</v>
      </c>
      <c r="K97" s="1">
        <f t="shared" si="19"/>
        <v>0.77012686000000008</v>
      </c>
      <c r="L97" s="1">
        <f t="shared" si="19"/>
        <v>0.81542844000000003</v>
      </c>
      <c r="M97" s="1">
        <f t="shared" si="20"/>
        <v>0.56990191264000001</v>
      </c>
      <c r="N97" s="1">
        <f t="shared" si="23"/>
        <v>0.64070828218000009</v>
      </c>
      <c r="O97" s="1">
        <f t="shared" si="24"/>
        <v>0.71151465172000017</v>
      </c>
      <c r="P97" s="1">
        <f t="shared" si="16"/>
        <v>113</v>
      </c>
      <c r="Q97" s="90">
        <f t="shared" si="21"/>
        <v>0.56990191264000001</v>
      </c>
      <c r="R97" s="90">
        <f t="shared" si="17"/>
        <v>0.64070828218000009</v>
      </c>
      <c r="S97" s="90">
        <f t="shared" si="18"/>
        <v>0.71151465172000017</v>
      </c>
    </row>
    <row r="98" spans="8:19">
      <c r="H98" s="1">
        <f t="shared" si="22"/>
        <v>114</v>
      </c>
      <c r="I98" s="1">
        <f>I94+0.8*(I99-I94)</f>
        <v>6.8880579999999997E-2</v>
      </c>
      <c r="J98" s="1">
        <f t="shared" si="19"/>
        <v>0.71104464000000012</v>
      </c>
      <c r="K98" s="1">
        <f t="shared" si="19"/>
        <v>0.75548493000000017</v>
      </c>
      <c r="L98" s="1">
        <f t="shared" si="19"/>
        <v>0.7999252200000001</v>
      </c>
      <c r="M98" s="1">
        <f t="shared" si="20"/>
        <v>0.54836277232000019</v>
      </c>
      <c r="N98" s="1">
        <f t="shared" si="23"/>
        <v>0.61782294559000017</v>
      </c>
      <c r="O98" s="1">
        <f t="shared" si="24"/>
        <v>0.68728311886000015</v>
      </c>
      <c r="P98" s="1">
        <f t="shared" si="16"/>
        <v>114</v>
      </c>
      <c r="Q98" s="90">
        <f t="shared" si="21"/>
        <v>0.54836277232000019</v>
      </c>
      <c r="R98" s="90">
        <f t="shared" si="17"/>
        <v>0.61782294559000017</v>
      </c>
      <c r="S98" s="90">
        <f t="shared" si="18"/>
        <v>0.68728311886000015</v>
      </c>
    </row>
    <row r="99" spans="8:19">
      <c r="H99" s="1">
        <f t="shared" si="22"/>
        <v>115</v>
      </c>
      <c r="I99" s="1">
        <v>6.7157999999999995E-2</v>
      </c>
      <c r="J99" s="1">
        <f t="shared" si="19"/>
        <v>0.69726399999999999</v>
      </c>
      <c r="K99" s="1">
        <f t="shared" si="19"/>
        <v>0.74084300000000003</v>
      </c>
      <c r="L99" s="1">
        <f t="shared" si="19"/>
        <v>0.78442199999999995</v>
      </c>
      <c r="M99" s="1">
        <f t="shared" si="20"/>
        <v>0.52682363199999993</v>
      </c>
      <c r="N99" s="1">
        <f t="shared" si="23"/>
        <v>0.59493760900000003</v>
      </c>
      <c r="O99" s="1">
        <f t="shared" si="24"/>
        <v>0.66305158599999992</v>
      </c>
      <c r="P99" s="1">
        <f t="shared" si="16"/>
        <v>115</v>
      </c>
      <c r="Q99" s="90">
        <f t="shared" si="21"/>
        <v>0.52682363199999993</v>
      </c>
      <c r="R99" s="90">
        <f t="shared" si="17"/>
        <v>0.59493760900000003</v>
      </c>
      <c r="S99" s="90">
        <f t="shared" si="18"/>
        <v>0.66305158599999992</v>
      </c>
    </row>
    <row r="100" spans="8:19">
      <c r="H100" s="1">
        <f t="shared" si="22"/>
        <v>116</v>
      </c>
      <c r="I100" s="1">
        <f>I99+0.2*(I104-I99)</f>
        <v>6.5674399999999994E-2</v>
      </c>
      <c r="J100" s="1">
        <f t="shared" si="19"/>
        <v>0.68539519999999998</v>
      </c>
      <c r="K100" s="1">
        <f t="shared" si="19"/>
        <v>0.7282324</v>
      </c>
      <c r="L100" s="1">
        <f t="shared" si="19"/>
        <v>0.77106959999999991</v>
      </c>
      <c r="M100" s="1">
        <f t="shared" si="20"/>
        <v>0.50827269760000005</v>
      </c>
      <c r="N100" s="1">
        <f t="shared" si="23"/>
        <v>0.57522724120000013</v>
      </c>
      <c r="O100" s="1">
        <f t="shared" si="24"/>
        <v>0.64218178479999977</v>
      </c>
      <c r="P100" s="1">
        <f t="shared" si="16"/>
        <v>116</v>
      </c>
      <c r="Q100" s="90">
        <f t="shared" si="21"/>
        <v>0.50827269760000005</v>
      </c>
      <c r="R100" s="90">
        <f t="shared" si="17"/>
        <v>0.57522724120000013</v>
      </c>
      <c r="S100" s="90">
        <f t="shared" si="18"/>
        <v>0.64218178479999977</v>
      </c>
    </row>
    <row r="101" spans="8:19">
      <c r="H101" s="1">
        <f t="shared" si="22"/>
        <v>117</v>
      </c>
      <c r="I101" s="1">
        <f>I99+0.4*(I104-I99)</f>
        <v>6.4190799999999992E-2</v>
      </c>
      <c r="J101" s="1">
        <f t="shared" si="19"/>
        <v>0.67352639999999997</v>
      </c>
      <c r="K101" s="1">
        <f t="shared" si="19"/>
        <v>0.71562179999999997</v>
      </c>
      <c r="L101" s="1">
        <f t="shared" si="19"/>
        <v>0.75771719999999987</v>
      </c>
      <c r="M101" s="1">
        <f t="shared" si="20"/>
        <v>0.5</v>
      </c>
      <c r="N101" s="1">
        <f t="shared" si="23"/>
        <v>0.5555168734</v>
      </c>
      <c r="O101" s="1">
        <f t="shared" si="24"/>
        <v>0.62131198359999984</v>
      </c>
      <c r="P101" s="1">
        <f t="shared" si="16"/>
        <v>117</v>
      </c>
      <c r="Q101" s="90">
        <f t="shared" si="21"/>
        <v>0.5</v>
      </c>
      <c r="R101" s="90">
        <f t="shared" si="17"/>
        <v>0.5555168734</v>
      </c>
      <c r="S101" s="90">
        <f t="shared" si="18"/>
        <v>0.62131198359999984</v>
      </c>
    </row>
    <row r="102" spans="8:19">
      <c r="H102" s="1">
        <f t="shared" si="22"/>
        <v>118</v>
      </c>
      <c r="I102" s="1">
        <f>I99+0.6*(I104-I99)</f>
        <v>6.2707200000000005E-2</v>
      </c>
      <c r="J102" s="1">
        <f t="shared" si="19"/>
        <v>0.66165760000000007</v>
      </c>
      <c r="K102" s="1">
        <f t="shared" si="19"/>
        <v>0.70301120000000006</v>
      </c>
      <c r="L102" s="1">
        <f t="shared" si="19"/>
        <v>0.74436480000000005</v>
      </c>
      <c r="M102" s="1">
        <f t="shared" si="20"/>
        <v>0.5</v>
      </c>
      <c r="N102" s="1">
        <f t="shared" si="23"/>
        <v>0.53580650560000009</v>
      </c>
      <c r="O102" s="1">
        <f t="shared" si="24"/>
        <v>0.60044218240000014</v>
      </c>
      <c r="P102" s="1">
        <f t="shared" si="16"/>
        <v>118</v>
      </c>
      <c r="Q102" s="90">
        <f t="shared" si="21"/>
        <v>0.5</v>
      </c>
      <c r="R102" s="90">
        <f t="shared" si="17"/>
        <v>0.53580650560000009</v>
      </c>
      <c r="S102" s="90">
        <f t="shared" si="18"/>
        <v>0.60044218240000014</v>
      </c>
    </row>
    <row r="103" spans="8:19">
      <c r="H103" s="1">
        <f t="shared" si="22"/>
        <v>119</v>
      </c>
      <c r="I103" s="1">
        <f>I99+0.8*(I104-I99)</f>
        <v>6.1223600000000003E-2</v>
      </c>
      <c r="J103" s="1">
        <f t="shared" si="19"/>
        <v>0.64978880000000006</v>
      </c>
      <c r="K103" s="1">
        <f t="shared" si="19"/>
        <v>0.69040060000000014</v>
      </c>
      <c r="L103" s="1">
        <f t="shared" si="19"/>
        <v>0.73101240000000001</v>
      </c>
      <c r="M103" s="1">
        <f t="shared" si="20"/>
        <v>0.5</v>
      </c>
      <c r="N103" s="1">
        <f t="shared" si="23"/>
        <v>0.51609613780000019</v>
      </c>
      <c r="O103" s="1">
        <f t="shared" si="24"/>
        <v>0.57957238119999999</v>
      </c>
      <c r="P103" s="1">
        <f t="shared" si="16"/>
        <v>119</v>
      </c>
      <c r="Q103" s="90">
        <f t="shared" si="21"/>
        <v>0.5</v>
      </c>
      <c r="R103" s="90">
        <f t="shared" si="17"/>
        <v>0.51609613780000019</v>
      </c>
      <c r="S103" s="90">
        <f t="shared" si="18"/>
        <v>0.57957238119999999</v>
      </c>
    </row>
    <row r="104" spans="8:19">
      <c r="H104" s="1">
        <f t="shared" si="22"/>
        <v>120</v>
      </c>
      <c r="I104" s="1">
        <v>5.9740000000000001E-2</v>
      </c>
      <c r="J104" s="1">
        <f t="shared" si="19"/>
        <v>0.63792000000000004</v>
      </c>
      <c r="K104" s="1">
        <f t="shared" si="19"/>
        <v>0.67779000000000011</v>
      </c>
      <c r="L104" s="1">
        <f t="shared" si="19"/>
        <v>0.71765999999999996</v>
      </c>
      <c r="M104" s="1">
        <f t="shared" si="20"/>
        <v>0.5</v>
      </c>
      <c r="N104" s="1">
        <f t="shared" si="23"/>
        <v>0.5</v>
      </c>
      <c r="O104" s="1">
        <f t="shared" si="24"/>
        <v>0.55870258000000006</v>
      </c>
      <c r="P104" s="1">
        <f t="shared" si="16"/>
        <v>120</v>
      </c>
      <c r="Q104" s="90">
        <f t="shared" si="21"/>
        <v>0.5</v>
      </c>
      <c r="R104" s="90">
        <f t="shared" si="17"/>
        <v>0.5</v>
      </c>
      <c r="S104" s="90">
        <f t="shared" si="18"/>
        <v>0.55870258000000006</v>
      </c>
    </row>
    <row r="105" spans="8:19">
      <c r="H105" s="1">
        <f t="shared" si="22"/>
        <v>121</v>
      </c>
      <c r="I105" s="1">
        <f>I104+0.2*(I109-I104)</f>
        <v>5.8449000000000001E-2</v>
      </c>
      <c r="J105" s="1">
        <f t="shared" si="19"/>
        <v>0.62759200000000004</v>
      </c>
      <c r="K105" s="1">
        <f t="shared" si="19"/>
        <v>0.66681650000000003</v>
      </c>
      <c r="L105" s="1">
        <f t="shared" si="19"/>
        <v>0.70604099999999992</v>
      </c>
      <c r="M105" s="1">
        <f t="shared" si="20"/>
        <v>0.5</v>
      </c>
      <c r="N105" s="1">
        <f t="shared" si="23"/>
        <v>0.5</v>
      </c>
      <c r="O105" s="1">
        <f t="shared" si="24"/>
        <v>0.54054208299999984</v>
      </c>
      <c r="P105" s="1">
        <f t="shared" si="16"/>
        <v>121</v>
      </c>
      <c r="Q105" s="90">
        <f t="shared" si="21"/>
        <v>0.5</v>
      </c>
      <c r="R105" s="90">
        <f t="shared" si="17"/>
        <v>0.5</v>
      </c>
      <c r="S105" s="90">
        <f t="shared" si="18"/>
        <v>0.54054208299999984</v>
      </c>
    </row>
    <row r="106" spans="8:19">
      <c r="H106" s="1">
        <f t="shared" si="22"/>
        <v>122</v>
      </c>
      <c r="I106" s="1">
        <f>I104+0.4*(I109-I104)</f>
        <v>5.7158E-2</v>
      </c>
      <c r="J106" s="1">
        <f t="shared" si="19"/>
        <v>0.61726400000000003</v>
      </c>
      <c r="K106" s="1">
        <f t="shared" si="19"/>
        <v>0.65584300000000006</v>
      </c>
      <c r="L106" s="1">
        <f t="shared" si="19"/>
        <v>0.69442199999999998</v>
      </c>
      <c r="M106" s="1">
        <f t="shared" si="20"/>
        <v>0.5</v>
      </c>
      <c r="N106" s="1">
        <f t="shared" si="23"/>
        <v>0.5</v>
      </c>
      <c r="O106" s="1">
        <f t="shared" si="24"/>
        <v>0.52238158600000006</v>
      </c>
      <c r="P106" s="1">
        <f t="shared" si="16"/>
        <v>122</v>
      </c>
      <c r="Q106" s="90">
        <f t="shared" si="21"/>
        <v>0.5</v>
      </c>
      <c r="R106" s="90">
        <f t="shared" si="17"/>
        <v>0.5</v>
      </c>
      <c r="S106" s="90">
        <f t="shared" si="18"/>
        <v>0.52238158600000006</v>
      </c>
    </row>
    <row r="107" spans="8:19">
      <c r="H107" s="1">
        <f t="shared" si="22"/>
        <v>123</v>
      </c>
      <c r="I107" s="1">
        <f>I104+0.6*(I109-I104)</f>
        <v>5.5867E-2</v>
      </c>
      <c r="J107" s="1">
        <f t="shared" si="19"/>
        <v>0.60693600000000003</v>
      </c>
      <c r="K107" s="1">
        <f t="shared" si="19"/>
        <v>0.6448695000000001</v>
      </c>
      <c r="L107" s="1">
        <f t="shared" si="19"/>
        <v>0.68280300000000005</v>
      </c>
      <c r="M107" s="1">
        <f t="shared" si="20"/>
        <v>0.5</v>
      </c>
      <c r="N107" s="1">
        <f t="shared" si="23"/>
        <v>0.5</v>
      </c>
      <c r="O107" s="1">
        <f t="shared" si="24"/>
        <v>0.50422108900000007</v>
      </c>
      <c r="P107" s="1">
        <f t="shared" si="16"/>
        <v>123</v>
      </c>
      <c r="Q107" s="90">
        <f t="shared" si="21"/>
        <v>0.5</v>
      </c>
      <c r="R107" s="90">
        <f t="shared" si="17"/>
        <v>0.5</v>
      </c>
      <c r="S107" s="90">
        <f t="shared" si="18"/>
        <v>0.50422108900000007</v>
      </c>
    </row>
    <row r="108" spans="8:19">
      <c r="H108" s="1">
        <f t="shared" si="22"/>
        <v>124</v>
      </c>
      <c r="I108" s="1">
        <f>I104+0.8*(I109-I104)</f>
        <v>5.4576E-2</v>
      </c>
      <c r="J108" s="1">
        <f t="shared" si="19"/>
        <v>0.59660800000000003</v>
      </c>
      <c r="K108" s="1">
        <f t="shared" si="19"/>
        <v>0.63389600000000002</v>
      </c>
      <c r="L108" s="1">
        <f t="shared" si="19"/>
        <v>0.671184</v>
      </c>
      <c r="M108" s="1">
        <f t="shared" si="20"/>
        <v>0.5</v>
      </c>
      <c r="N108" s="1">
        <f t="shared" si="23"/>
        <v>0.5</v>
      </c>
      <c r="O108" s="1">
        <f t="shared" si="24"/>
        <v>0.5</v>
      </c>
      <c r="P108" s="1">
        <f t="shared" si="16"/>
        <v>124</v>
      </c>
      <c r="Q108" s="90">
        <f t="shared" si="21"/>
        <v>0.5</v>
      </c>
      <c r="R108" s="90">
        <f t="shared" si="17"/>
        <v>0.5</v>
      </c>
      <c r="S108" s="90">
        <f t="shared" si="18"/>
        <v>0.5</v>
      </c>
    </row>
    <row r="109" spans="8:19">
      <c r="H109" s="1">
        <f t="shared" si="22"/>
        <v>125</v>
      </c>
      <c r="I109" s="1">
        <v>5.3284999999999999E-2</v>
      </c>
      <c r="J109" s="1">
        <f t="shared" si="19"/>
        <v>0.58628000000000002</v>
      </c>
      <c r="K109" s="1">
        <f t="shared" si="19"/>
        <v>0.62292250000000005</v>
      </c>
      <c r="L109" s="1">
        <f t="shared" si="19"/>
        <v>0.65956499999999996</v>
      </c>
      <c r="M109" s="1">
        <f t="shared" si="20"/>
        <v>0.5</v>
      </c>
      <c r="N109" s="1">
        <f t="shared" si="23"/>
        <v>0.5</v>
      </c>
      <c r="O109" s="1">
        <f t="shared" si="24"/>
        <v>0.5</v>
      </c>
      <c r="P109" s="1">
        <f t="shared" si="16"/>
        <v>125</v>
      </c>
      <c r="Q109" s="90">
        <f t="shared" si="21"/>
        <v>0.5</v>
      </c>
      <c r="R109" s="90">
        <f t="shared" si="17"/>
        <v>0.5</v>
      </c>
      <c r="S109" s="90">
        <f t="shared" si="18"/>
        <v>0.5</v>
      </c>
    </row>
    <row r="110" spans="8:19">
      <c r="H110" s="1">
        <f t="shared" si="22"/>
        <v>126</v>
      </c>
      <c r="I110" s="1">
        <f>I109+0.2*(I114-I109)</f>
        <v>5.2167999999999999E-2</v>
      </c>
      <c r="J110" s="1">
        <f t="shared" si="19"/>
        <v>0.57734399999999997</v>
      </c>
      <c r="K110" s="1">
        <f t="shared" si="19"/>
        <v>0.61342800000000008</v>
      </c>
      <c r="L110" s="1">
        <f t="shared" si="19"/>
        <v>0.64951199999999998</v>
      </c>
      <c r="M110" s="1">
        <f t="shared" si="20"/>
        <v>0.5</v>
      </c>
      <c r="N110" s="1">
        <f t="shared" si="23"/>
        <v>0.5</v>
      </c>
      <c r="O110" s="1">
        <f t="shared" si="24"/>
        <v>0.5</v>
      </c>
      <c r="P110" s="1">
        <f t="shared" si="16"/>
        <v>126</v>
      </c>
      <c r="Q110" s="90">
        <f t="shared" si="21"/>
        <v>0.5</v>
      </c>
      <c r="R110" s="90">
        <f t="shared" si="17"/>
        <v>0.5</v>
      </c>
      <c r="S110" s="90">
        <f t="shared" si="18"/>
        <v>0.5</v>
      </c>
    </row>
    <row r="111" spans="8:19">
      <c r="H111" s="1">
        <f t="shared" si="22"/>
        <v>127</v>
      </c>
      <c r="I111" s="1">
        <f>I109+0.4*(I114-I109)</f>
        <v>5.1050999999999999E-2</v>
      </c>
      <c r="J111" s="1">
        <f t="shared" si="19"/>
        <v>0.56840800000000002</v>
      </c>
      <c r="K111" s="1">
        <f t="shared" si="19"/>
        <v>0.60393350000000001</v>
      </c>
      <c r="L111" s="1">
        <f t="shared" si="19"/>
        <v>0.639459</v>
      </c>
      <c r="M111" s="1">
        <f t="shared" si="20"/>
        <v>0.5</v>
      </c>
      <c r="N111" s="1">
        <f t="shared" si="23"/>
        <v>0.5</v>
      </c>
      <c r="O111" s="1">
        <f t="shared" si="24"/>
        <v>0.5</v>
      </c>
      <c r="P111" s="1">
        <f t="shared" si="16"/>
        <v>127</v>
      </c>
      <c r="Q111" s="90">
        <f t="shared" si="21"/>
        <v>0.5</v>
      </c>
      <c r="R111" s="90">
        <f t="shared" si="17"/>
        <v>0.5</v>
      </c>
      <c r="S111" s="90">
        <f t="shared" si="18"/>
        <v>0.5</v>
      </c>
    </row>
    <row r="112" spans="8:19">
      <c r="H112" s="1">
        <f t="shared" si="22"/>
        <v>128</v>
      </c>
      <c r="I112" s="1">
        <f>I109+0.6*(I114-I109)</f>
        <v>4.9933999999999999E-2</v>
      </c>
      <c r="J112" s="1">
        <f t="shared" si="19"/>
        <v>0.55947200000000008</v>
      </c>
      <c r="K112" s="1">
        <f t="shared" si="19"/>
        <v>0.59443900000000005</v>
      </c>
      <c r="L112" s="1">
        <f t="shared" si="19"/>
        <v>0.62940600000000002</v>
      </c>
      <c r="M112" s="1">
        <f t="shared" si="20"/>
        <v>0.5</v>
      </c>
      <c r="N112" s="1">
        <f t="shared" si="23"/>
        <v>0.5</v>
      </c>
      <c r="O112" s="1">
        <f t="shared" si="24"/>
        <v>0.5</v>
      </c>
      <c r="P112" s="1">
        <f t="shared" si="16"/>
        <v>128</v>
      </c>
      <c r="Q112" s="90">
        <f t="shared" si="21"/>
        <v>0.5</v>
      </c>
      <c r="R112" s="90">
        <f t="shared" si="17"/>
        <v>0.5</v>
      </c>
      <c r="S112" s="90">
        <f t="shared" si="18"/>
        <v>0.5</v>
      </c>
    </row>
    <row r="113" spans="8:19">
      <c r="H113" s="1">
        <f t="shared" si="22"/>
        <v>129</v>
      </c>
      <c r="I113" s="1">
        <f>I109+0.8*(I114-I109)</f>
        <v>4.8816999999999999E-2</v>
      </c>
      <c r="J113" s="1">
        <f t="shared" si="19"/>
        <v>0.55053600000000003</v>
      </c>
      <c r="K113" s="1">
        <f t="shared" si="19"/>
        <v>0.58494450000000009</v>
      </c>
      <c r="L113" s="1">
        <f t="shared" si="19"/>
        <v>0.61935300000000004</v>
      </c>
      <c r="M113" s="1">
        <f t="shared" si="20"/>
        <v>0.5</v>
      </c>
      <c r="N113" s="1">
        <f t="shared" si="23"/>
        <v>0.5</v>
      </c>
      <c r="O113" s="1">
        <f t="shared" si="24"/>
        <v>0.5</v>
      </c>
      <c r="P113" s="1">
        <f t="shared" si="16"/>
        <v>129</v>
      </c>
      <c r="Q113" s="90">
        <f t="shared" si="21"/>
        <v>0.5</v>
      </c>
      <c r="R113" s="90">
        <f t="shared" si="17"/>
        <v>0.5</v>
      </c>
      <c r="S113" s="90">
        <f t="shared" si="18"/>
        <v>0.5</v>
      </c>
    </row>
    <row r="114" spans="8:19">
      <c r="H114" s="1">
        <f t="shared" si="22"/>
        <v>130</v>
      </c>
      <c r="I114" s="1">
        <v>4.7699999999999999E-2</v>
      </c>
      <c r="J114" s="1">
        <f t="shared" si="19"/>
        <v>0.54159999999999997</v>
      </c>
      <c r="K114" s="1">
        <f t="shared" si="19"/>
        <v>0.57545000000000002</v>
      </c>
      <c r="L114" s="1">
        <f t="shared" si="19"/>
        <v>0.60929999999999995</v>
      </c>
      <c r="M114" s="1">
        <f t="shared" si="20"/>
        <v>0.5</v>
      </c>
      <c r="N114" s="1">
        <f t="shared" si="23"/>
        <v>0.5</v>
      </c>
      <c r="O114" s="1">
        <f t="shared" si="24"/>
        <v>0.5</v>
      </c>
      <c r="P114" s="1">
        <f t="shared" si="16"/>
        <v>130</v>
      </c>
      <c r="Q114" s="90">
        <f t="shared" si="21"/>
        <v>0.5</v>
      </c>
      <c r="R114" s="90">
        <f t="shared" si="17"/>
        <v>0.5</v>
      </c>
      <c r="S114" s="90">
        <f t="shared" si="18"/>
        <v>0.5</v>
      </c>
    </row>
    <row r="115" spans="8:19">
      <c r="H115" s="1">
        <f t="shared" si="22"/>
        <v>131</v>
      </c>
      <c r="I115" s="1">
        <f>I114+0.2*(I119-I114)</f>
        <v>4.6699999999999998E-2</v>
      </c>
      <c r="J115" s="1">
        <f t="shared" si="19"/>
        <v>0.53359999999999996</v>
      </c>
      <c r="K115" s="1">
        <f t="shared" si="19"/>
        <v>0.56695000000000007</v>
      </c>
      <c r="L115" s="1">
        <f t="shared" si="19"/>
        <v>0.60029999999999994</v>
      </c>
      <c r="M115" s="1">
        <f t="shared" si="20"/>
        <v>0.5</v>
      </c>
      <c r="N115" s="1">
        <f t="shared" si="23"/>
        <v>0.5</v>
      </c>
      <c r="O115" s="1">
        <f t="shared" si="24"/>
        <v>0.5</v>
      </c>
      <c r="P115" s="1">
        <f t="shared" si="16"/>
        <v>131</v>
      </c>
      <c r="Q115" s="90">
        <f t="shared" si="21"/>
        <v>0.5</v>
      </c>
      <c r="R115" s="90">
        <f t="shared" si="17"/>
        <v>0.5</v>
      </c>
      <c r="S115" s="90">
        <f t="shared" si="18"/>
        <v>0.5</v>
      </c>
    </row>
    <row r="116" spans="8:19">
      <c r="H116" s="1">
        <f t="shared" si="22"/>
        <v>132</v>
      </c>
      <c r="I116" s="1">
        <f>I114+0.4*(I119-I114)</f>
        <v>4.5699999999999998E-2</v>
      </c>
      <c r="J116" s="1">
        <f t="shared" si="19"/>
        <v>0.52559999999999996</v>
      </c>
      <c r="K116" s="1">
        <f t="shared" si="19"/>
        <v>0.55845</v>
      </c>
      <c r="L116" s="1">
        <f t="shared" si="19"/>
        <v>0.59129999999999994</v>
      </c>
      <c r="M116" s="1">
        <f t="shared" si="20"/>
        <v>0.5</v>
      </c>
      <c r="N116" s="1">
        <f t="shared" si="23"/>
        <v>0.5</v>
      </c>
      <c r="O116" s="1">
        <f t="shared" si="24"/>
        <v>0.5</v>
      </c>
      <c r="P116" s="1">
        <f t="shared" si="16"/>
        <v>132</v>
      </c>
      <c r="Q116" s="90">
        <f t="shared" si="21"/>
        <v>0.5</v>
      </c>
      <c r="R116" s="90">
        <f t="shared" si="17"/>
        <v>0.5</v>
      </c>
      <c r="S116" s="90">
        <f t="shared" si="18"/>
        <v>0.5</v>
      </c>
    </row>
    <row r="117" spans="8:19">
      <c r="H117" s="1">
        <f t="shared" si="22"/>
        <v>133</v>
      </c>
      <c r="I117" s="1">
        <f>I114+0.6*(I119-I114)</f>
        <v>4.4700000000000004E-2</v>
      </c>
      <c r="J117" s="1">
        <f t="shared" si="19"/>
        <v>0.51760000000000006</v>
      </c>
      <c r="K117" s="1">
        <f t="shared" si="19"/>
        <v>0.54995000000000005</v>
      </c>
      <c r="L117" s="1">
        <f t="shared" si="19"/>
        <v>0.58230000000000004</v>
      </c>
      <c r="M117" s="1">
        <f t="shared" si="20"/>
        <v>0.5</v>
      </c>
      <c r="N117" s="1">
        <f t="shared" si="23"/>
        <v>0.5</v>
      </c>
      <c r="O117" s="1">
        <f t="shared" si="24"/>
        <v>0.5</v>
      </c>
      <c r="P117" s="1">
        <f t="shared" si="16"/>
        <v>133</v>
      </c>
      <c r="Q117" s="90">
        <f t="shared" si="21"/>
        <v>0.5</v>
      </c>
      <c r="R117" s="90">
        <f t="shared" si="17"/>
        <v>0.5</v>
      </c>
      <c r="S117" s="90">
        <f t="shared" si="18"/>
        <v>0.5</v>
      </c>
    </row>
    <row r="118" spans="8:19">
      <c r="H118" s="1">
        <f t="shared" si="22"/>
        <v>134</v>
      </c>
      <c r="I118" s="1">
        <f>I114+0.8*(I119-I114)</f>
        <v>4.3700000000000003E-2</v>
      </c>
      <c r="J118" s="1">
        <f t="shared" si="19"/>
        <v>0.50960000000000005</v>
      </c>
      <c r="K118" s="1">
        <f t="shared" si="19"/>
        <v>0.5414500000000001</v>
      </c>
      <c r="L118" s="1">
        <f t="shared" si="19"/>
        <v>0.57330000000000003</v>
      </c>
      <c r="M118" s="1">
        <f t="shared" si="20"/>
        <v>0.5</v>
      </c>
      <c r="N118" s="1">
        <f t="shared" si="23"/>
        <v>0.5</v>
      </c>
      <c r="O118" s="1">
        <f t="shared" si="24"/>
        <v>0.5</v>
      </c>
      <c r="P118" s="1">
        <f t="shared" si="16"/>
        <v>134</v>
      </c>
      <c r="Q118" s="90">
        <f t="shared" si="21"/>
        <v>0.5</v>
      </c>
      <c r="R118" s="90">
        <f t="shared" si="17"/>
        <v>0.5</v>
      </c>
      <c r="S118" s="90">
        <f t="shared" si="18"/>
        <v>0.5</v>
      </c>
    </row>
    <row r="119" spans="8:19">
      <c r="H119" s="1">
        <f t="shared" si="22"/>
        <v>135</v>
      </c>
      <c r="I119" s="1">
        <v>4.2700000000000002E-2</v>
      </c>
      <c r="J119" s="1">
        <f t="shared" si="19"/>
        <v>0.50160000000000005</v>
      </c>
      <c r="K119" s="1">
        <f t="shared" si="19"/>
        <v>0.53295000000000003</v>
      </c>
      <c r="L119" s="1">
        <f t="shared" si="19"/>
        <v>0.56430000000000002</v>
      </c>
      <c r="M119" s="1">
        <f t="shared" si="20"/>
        <v>0.5</v>
      </c>
      <c r="N119" s="1">
        <f t="shared" si="23"/>
        <v>0.5</v>
      </c>
      <c r="O119" s="1">
        <f t="shared" si="24"/>
        <v>0.5</v>
      </c>
      <c r="P119" s="1">
        <f t="shared" si="16"/>
        <v>135</v>
      </c>
      <c r="Q119" s="90">
        <f t="shared" si="21"/>
        <v>0.5</v>
      </c>
      <c r="R119" s="90">
        <f t="shared" si="17"/>
        <v>0.5</v>
      </c>
      <c r="S119" s="90">
        <f t="shared" si="18"/>
        <v>0.5</v>
      </c>
    </row>
    <row r="120" spans="8:19">
      <c r="H120" s="1">
        <f t="shared" si="22"/>
        <v>136</v>
      </c>
      <c r="I120" s="1">
        <f>I119+0.2*(I124-I119)</f>
        <v>4.1840000000000002E-2</v>
      </c>
      <c r="J120" s="1">
        <f t="shared" si="19"/>
        <v>0.49472000000000005</v>
      </c>
      <c r="K120" s="1">
        <f t="shared" si="19"/>
        <v>0.52564000000000011</v>
      </c>
      <c r="L120" s="1">
        <f t="shared" si="19"/>
        <v>0.55655999999999994</v>
      </c>
      <c r="M120" s="1">
        <f t="shared" si="20"/>
        <v>0.5</v>
      </c>
      <c r="N120" s="1">
        <f t="shared" si="23"/>
        <v>0.5</v>
      </c>
      <c r="O120" s="1">
        <f t="shared" si="24"/>
        <v>0.5</v>
      </c>
      <c r="P120" s="1">
        <f t="shared" si="16"/>
        <v>136</v>
      </c>
      <c r="Q120" s="90">
        <f t="shared" si="21"/>
        <v>0</v>
      </c>
      <c r="R120" s="90">
        <f t="shared" si="17"/>
        <v>0.5</v>
      </c>
      <c r="S120" s="90">
        <f t="shared" si="18"/>
        <v>0.5</v>
      </c>
    </row>
    <row r="121" spans="8:19">
      <c r="H121" s="1">
        <f t="shared" si="22"/>
        <v>137</v>
      </c>
      <c r="I121" s="1">
        <f>I119+0.4*(I124-I119)</f>
        <v>4.0980000000000003E-2</v>
      </c>
      <c r="J121" s="1">
        <f t="shared" si="19"/>
        <v>0.48784</v>
      </c>
      <c r="K121" s="1">
        <f t="shared" si="19"/>
        <v>0.51833000000000007</v>
      </c>
      <c r="L121" s="1">
        <f t="shared" si="19"/>
        <v>0.54881999999999997</v>
      </c>
      <c r="M121" s="1">
        <f t="shared" si="20"/>
        <v>0.5</v>
      </c>
      <c r="N121" s="1">
        <f t="shared" si="23"/>
        <v>0.5</v>
      </c>
      <c r="O121" s="1">
        <f t="shared" si="24"/>
        <v>0.5</v>
      </c>
      <c r="P121" s="1">
        <f t="shared" si="16"/>
        <v>137</v>
      </c>
      <c r="Q121" s="90">
        <f t="shared" si="21"/>
        <v>0</v>
      </c>
      <c r="R121" s="90">
        <f t="shared" si="17"/>
        <v>0.5</v>
      </c>
      <c r="S121" s="90">
        <f t="shared" si="18"/>
        <v>0.5</v>
      </c>
    </row>
    <row r="122" spans="8:19">
      <c r="H122" s="1">
        <f t="shared" si="22"/>
        <v>138</v>
      </c>
      <c r="I122" s="1">
        <f>I119+0.6*(I124-I119)</f>
        <v>4.0119999999999996E-2</v>
      </c>
      <c r="J122" s="1">
        <f t="shared" si="19"/>
        <v>0.48096</v>
      </c>
      <c r="K122" s="1">
        <f t="shared" si="19"/>
        <v>0.51102000000000003</v>
      </c>
      <c r="L122" s="1">
        <f t="shared" si="19"/>
        <v>0.54107999999999989</v>
      </c>
      <c r="M122" s="1">
        <f t="shared" si="20"/>
        <v>0.5</v>
      </c>
      <c r="N122" s="1">
        <f t="shared" si="23"/>
        <v>0.5</v>
      </c>
      <c r="O122" s="1">
        <f t="shared" si="24"/>
        <v>0.5</v>
      </c>
      <c r="P122" s="1">
        <f t="shared" si="16"/>
        <v>138</v>
      </c>
      <c r="Q122" s="90">
        <f t="shared" si="21"/>
        <v>0</v>
      </c>
      <c r="R122" s="90">
        <f t="shared" si="17"/>
        <v>0.5</v>
      </c>
      <c r="S122" s="90">
        <f t="shared" si="18"/>
        <v>0.5</v>
      </c>
    </row>
    <row r="123" spans="8:19">
      <c r="H123" s="1">
        <f t="shared" si="22"/>
        <v>139</v>
      </c>
      <c r="I123" s="1">
        <f>I119+0.8*(I124-I119)</f>
        <v>3.9259999999999996E-2</v>
      </c>
      <c r="J123" s="1">
        <f t="shared" si="19"/>
        <v>0.47408</v>
      </c>
      <c r="K123" s="1">
        <f t="shared" si="19"/>
        <v>0.5037100000000001</v>
      </c>
      <c r="L123" s="1">
        <f t="shared" si="19"/>
        <v>0.53334000000000004</v>
      </c>
      <c r="M123" s="1">
        <f t="shared" si="20"/>
        <v>0.5</v>
      </c>
      <c r="N123" s="1">
        <f t="shared" si="23"/>
        <v>0.5</v>
      </c>
      <c r="O123" s="1">
        <f t="shared" si="24"/>
        <v>0.5</v>
      </c>
      <c r="P123" s="1">
        <f t="shared" si="16"/>
        <v>139</v>
      </c>
      <c r="Q123" s="90">
        <f t="shared" si="21"/>
        <v>0</v>
      </c>
      <c r="R123" s="90">
        <f t="shared" si="17"/>
        <v>0.5</v>
      </c>
      <c r="S123" s="90">
        <f t="shared" si="18"/>
        <v>0.5</v>
      </c>
    </row>
    <row r="124" spans="8:19">
      <c r="H124" s="1">
        <f t="shared" si="22"/>
        <v>140</v>
      </c>
      <c r="I124" s="1">
        <v>3.8399999999999997E-2</v>
      </c>
      <c r="J124" s="1">
        <f t="shared" si="19"/>
        <v>0.4672</v>
      </c>
      <c r="K124" s="1">
        <f t="shared" si="19"/>
        <v>0.49640000000000001</v>
      </c>
      <c r="L124" s="1">
        <f t="shared" si="19"/>
        <v>0.52559999999999996</v>
      </c>
      <c r="M124" s="1">
        <f t="shared" si="20"/>
        <v>0.5</v>
      </c>
      <c r="N124" s="1">
        <f t="shared" si="23"/>
        <v>0.5</v>
      </c>
      <c r="O124" s="1">
        <f t="shared" si="24"/>
        <v>0.5</v>
      </c>
      <c r="P124" s="1">
        <f t="shared" si="16"/>
        <v>140</v>
      </c>
      <c r="Q124" s="90">
        <f t="shared" si="21"/>
        <v>0</v>
      </c>
      <c r="R124" s="90">
        <f t="shared" si="17"/>
        <v>0</v>
      </c>
      <c r="S124" s="90">
        <f t="shared" si="18"/>
        <v>0.5</v>
      </c>
    </row>
    <row r="125" spans="8:19">
      <c r="H125" s="1">
        <f t="shared" si="22"/>
        <v>141</v>
      </c>
      <c r="I125" s="1">
        <f>I124+0.2*(I129-I124)</f>
        <v>3.764E-2</v>
      </c>
      <c r="J125" s="1">
        <f t="shared" si="19"/>
        <v>0.46111999999999997</v>
      </c>
      <c r="K125" s="1">
        <f t="shared" si="19"/>
        <v>0.48993999999999999</v>
      </c>
      <c r="L125" s="1">
        <f t="shared" si="19"/>
        <v>0.51875999999999989</v>
      </c>
      <c r="M125" s="1">
        <f t="shared" si="20"/>
        <v>0.5</v>
      </c>
      <c r="N125" s="1">
        <f t="shared" si="23"/>
        <v>0.5</v>
      </c>
      <c r="O125" s="1">
        <f t="shared" si="24"/>
        <v>0.5</v>
      </c>
      <c r="P125" s="1">
        <f t="shared" si="16"/>
        <v>141</v>
      </c>
      <c r="Q125" s="90">
        <f t="shared" si="21"/>
        <v>0</v>
      </c>
      <c r="R125" s="90">
        <f t="shared" si="17"/>
        <v>0</v>
      </c>
      <c r="S125" s="90">
        <f t="shared" si="18"/>
        <v>0.5</v>
      </c>
    </row>
    <row r="126" spans="8:19">
      <c r="H126" s="1">
        <f t="shared" si="22"/>
        <v>142</v>
      </c>
      <c r="I126" s="1">
        <f>I124+0.4*(I129-I124)</f>
        <v>3.6879999999999996E-2</v>
      </c>
      <c r="J126" s="1">
        <f t="shared" si="19"/>
        <v>0.45504</v>
      </c>
      <c r="K126" s="1">
        <f t="shared" si="19"/>
        <v>0.48348000000000002</v>
      </c>
      <c r="L126" s="1">
        <f t="shared" si="19"/>
        <v>0.51191999999999993</v>
      </c>
      <c r="M126" s="1">
        <f t="shared" si="20"/>
        <v>0.5</v>
      </c>
      <c r="N126" s="1">
        <f t="shared" si="23"/>
        <v>0.5</v>
      </c>
      <c r="O126" s="1">
        <f t="shared" si="24"/>
        <v>0.5</v>
      </c>
      <c r="P126" s="1">
        <f t="shared" si="16"/>
        <v>142</v>
      </c>
      <c r="Q126" s="90">
        <f t="shared" si="21"/>
        <v>0</v>
      </c>
      <c r="R126" s="90">
        <f t="shared" si="17"/>
        <v>0</v>
      </c>
      <c r="S126" s="90">
        <f t="shared" si="18"/>
        <v>0.5</v>
      </c>
    </row>
    <row r="127" spans="8:19">
      <c r="H127" s="1">
        <f t="shared" si="22"/>
        <v>143</v>
      </c>
      <c r="I127" s="1">
        <f>I124+0.6*(I129-I124)</f>
        <v>3.6119999999999999E-2</v>
      </c>
      <c r="J127" s="1">
        <f t="shared" si="19"/>
        <v>0.44896000000000003</v>
      </c>
      <c r="K127" s="1">
        <f t="shared" si="19"/>
        <v>0.47702000000000006</v>
      </c>
      <c r="L127" s="1">
        <f t="shared" si="19"/>
        <v>0.50507999999999997</v>
      </c>
      <c r="M127" s="1">
        <f t="shared" si="20"/>
        <v>0.5</v>
      </c>
      <c r="N127" s="1">
        <f t="shared" si="23"/>
        <v>0.5</v>
      </c>
      <c r="O127" s="1">
        <f t="shared" si="24"/>
        <v>0.5</v>
      </c>
      <c r="P127" s="1">
        <f t="shared" si="16"/>
        <v>143</v>
      </c>
      <c r="Q127" s="90">
        <f t="shared" si="21"/>
        <v>0</v>
      </c>
      <c r="R127" s="90">
        <f t="shared" si="17"/>
        <v>0</v>
      </c>
      <c r="S127" s="90">
        <f t="shared" si="18"/>
        <v>0.5</v>
      </c>
    </row>
    <row r="128" spans="8:19">
      <c r="H128" s="1">
        <f t="shared" si="22"/>
        <v>144</v>
      </c>
      <c r="I128" s="1">
        <f>I124+0.8*(I129-I124)</f>
        <v>3.5359999999999996E-2</v>
      </c>
      <c r="J128" s="1">
        <f t="shared" si="19"/>
        <v>0.44288</v>
      </c>
      <c r="K128" s="1">
        <f t="shared" si="19"/>
        <v>0.47055999999999998</v>
      </c>
      <c r="L128" s="1">
        <f t="shared" si="19"/>
        <v>0.49823999999999996</v>
      </c>
      <c r="M128" s="1">
        <f t="shared" si="20"/>
        <v>0.5</v>
      </c>
      <c r="N128" s="1">
        <f t="shared" si="23"/>
        <v>0.5</v>
      </c>
      <c r="O128" s="1">
        <f t="shared" si="24"/>
        <v>0.5</v>
      </c>
      <c r="P128" s="1">
        <f t="shared" si="16"/>
        <v>144</v>
      </c>
      <c r="Q128" s="90">
        <f t="shared" si="21"/>
        <v>0</v>
      </c>
      <c r="R128" s="90">
        <f t="shared" si="17"/>
        <v>0</v>
      </c>
      <c r="S128" s="90">
        <f t="shared" si="18"/>
        <v>0</v>
      </c>
    </row>
    <row r="129" spans="8:19">
      <c r="H129" s="1">
        <f t="shared" si="22"/>
        <v>145</v>
      </c>
      <c r="I129" s="1">
        <v>3.4599999999999999E-2</v>
      </c>
      <c r="J129" s="1">
        <f t="shared" si="19"/>
        <v>0.43680000000000002</v>
      </c>
      <c r="K129" s="1">
        <f t="shared" si="19"/>
        <v>0.46410000000000001</v>
      </c>
      <c r="L129" s="1">
        <f t="shared" si="19"/>
        <v>0.4914</v>
      </c>
      <c r="M129" s="1">
        <f t="shared" si="20"/>
        <v>0.5</v>
      </c>
      <c r="N129" s="1">
        <f t="shared" si="23"/>
        <v>0.5</v>
      </c>
      <c r="O129" s="1">
        <f t="shared" si="24"/>
        <v>0.5</v>
      </c>
      <c r="P129" s="1">
        <f t="shared" si="16"/>
        <v>145</v>
      </c>
      <c r="Q129" s="90">
        <f t="shared" si="21"/>
        <v>0</v>
      </c>
      <c r="R129" s="90">
        <f t="shared" si="17"/>
        <v>0</v>
      </c>
      <c r="S129" s="90">
        <f t="shared" si="18"/>
        <v>0</v>
      </c>
    </row>
    <row r="130" spans="8:19">
      <c r="H130" s="1">
        <f t="shared" si="22"/>
        <v>146</v>
      </c>
      <c r="I130" s="1">
        <f>I129+0.2*(I134-I129)</f>
        <v>3.3919999999999999E-2</v>
      </c>
      <c r="J130" s="1">
        <f t="shared" si="19"/>
        <v>0.43135999999999997</v>
      </c>
      <c r="K130" s="1">
        <f t="shared" si="19"/>
        <v>0.45832000000000001</v>
      </c>
      <c r="L130" s="1">
        <f t="shared" si="19"/>
        <v>0.48527999999999993</v>
      </c>
      <c r="M130" s="1">
        <f t="shared" si="20"/>
        <v>0.5</v>
      </c>
      <c r="N130" s="1">
        <f t="shared" si="23"/>
        <v>0.5</v>
      </c>
      <c r="O130" s="1">
        <f t="shared" si="24"/>
        <v>0.5</v>
      </c>
      <c r="P130" s="1">
        <f t="shared" si="16"/>
        <v>146</v>
      </c>
      <c r="Q130" s="90">
        <f t="shared" si="21"/>
        <v>0</v>
      </c>
      <c r="R130" s="90">
        <f t="shared" si="17"/>
        <v>0</v>
      </c>
      <c r="S130" s="90">
        <f t="shared" si="18"/>
        <v>0</v>
      </c>
    </row>
    <row r="131" spans="8:19">
      <c r="H131" s="1">
        <f t="shared" si="22"/>
        <v>147</v>
      </c>
      <c r="I131" s="1">
        <f>I129+0.4*(I134-I129)</f>
        <v>3.3239999999999999E-2</v>
      </c>
      <c r="J131" s="1">
        <f t="shared" si="19"/>
        <v>0.42592000000000002</v>
      </c>
      <c r="K131" s="1">
        <f t="shared" si="19"/>
        <v>0.45254</v>
      </c>
      <c r="L131" s="1">
        <f t="shared" si="19"/>
        <v>0.47915999999999997</v>
      </c>
      <c r="M131" s="1">
        <f t="shared" si="20"/>
        <v>0.5</v>
      </c>
      <c r="N131" s="1">
        <f t="shared" si="23"/>
        <v>0.5</v>
      </c>
      <c r="O131" s="1">
        <f t="shared" si="24"/>
        <v>0.5</v>
      </c>
      <c r="P131" s="1">
        <f t="shared" si="16"/>
        <v>147</v>
      </c>
      <c r="Q131" s="90">
        <f t="shared" si="21"/>
        <v>0</v>
      </c>
      <c r="R131" s="90">
        <f t="shared" si="17"/>
        <v>0</v>
      </c>
      <c r="S131" s="90">
        <f t="shared" si="18"/>
        <v>0</v>
      </c>
    </row>
    <row r="132" spans="8:19">
      <c r="H132" s="1">
        <f t="shared" si="22"/>
        <v>148</v>
      </c>
      <c r="I132" s="1">
        <f>I129+0.6*(I134-I129)</f>
        <v>3.2559999999999999E-2</v>
      </c>
      <c r="J132" s="1">
        <f t="shared" si="19"/>
        <v>0.42048000000000002</v>
      </c>
      <c r="K132" s="1">
        <f t="shared" si="19"/>
        <v>0.44676000000000005</v>
      </c>
      <c r="L132" s="1">
        <f t="shared" si="19"/>
        <v>0.47304000000000002</v>
      </c>
      <c r="M132" s="1">
        <f t="shared" si="20"/>
        <v>0.5</v>
      </c>
      <c r="N132" s="1">
        <f t="shared" si="23"/>
        <v>0.5</v>
      </c>
      <c r="O132" s="1">
        <f t="shared" si="24"/>
        <v>0.5</v>
      </c>
      <c r="P132" s="1">
        <f t="shared" si="16"/>
        <v>148</v>
      </c>
      <c r="Q132" s="90">
        <f t="shared" si="21"/>
        <v>0</v>
      </c>
      <c r="R132" s="90">
        <f t="shared" si="17"/>
        <v>0</v>
      </c>
      <c r="S132" s="90">
        <f t="shared" si="18"/>
        <v>0</v>
      </c>
    </row>
    <row r="133" spans="8:19">
      <c r="H133" s="1">
        <f t="shared" si="22"/>
        <v>149</v>
      </c>
      <c r="I133" s="1">
        <f>I129+0.8*(I134-I129)</f>
        <v>3.1879999999999999E-2</v>
      </c>
      <c r="J133" s="1">
        <f t="shared" si="19"/>
        <v>0.41503999999999996</v>
      </c>
      <c r="K133" s="1">
        <f t="shared" si="19"/>
        <v>0.44097999999999998</v>
      </c>
      <c r="L133" s="1">
        <f t="shared" si="19"/>
        <v>0.46691999999999995</v>
      </c>
      <c r="M133" s="1">
        <f t="shared" si="20"/>
        <v>0.5</v>
      </c>
      <c r="N133" s="1">
        <f t="shared" si="23"/>
        <v>0.5</v>
      </c>
      <c r="O133" s="1">
        <f t="shared" si="24"/>
        <v>0.5</v>
      </c>
      <c r="P133" s="1">
        <f t="shared" si="16"/>
        <v>149</v>
      </c>
      <c r="Q133" s="90">
        <f t="shared" si="21"/>
        <v>0</v>
      </c>
      <c r="R133" s="90">
        <f t="shared" si="17"/>
        <v>0</v>
      </c>
      <c r="S133" s="90">
        <f t="shared" si="18"/>
        <v>0</v>
      </c>
    </row>
    <row r="134" spans="8:19">
      <c r="H134" s="1">
        <f t="shared" si="22"/>
        <v>150</v>
      </c>
      <c r="I134" s="1">
        <v>3.1199999999999999E-2</v>
      </c>
      <c r="J134" s="1">
        <f t="shared" si="19"/>
        <v>0.40959999999999996</v>
      </c>
      <c r="K134" s="1">
        <f t="shared" si="19"/>
        <v>0.43519999999999998</v>
      </c>
      <c r="L134" s="1">
        <f t="shared" si="19"/>
        <v>0.46079999999999993</v>
      </c>
      <c r="M134" s="1">
        <f t="shared" si="20"/>
        <v>0.5</v>
      </c>
      <c r="N134" s="1">
        <f t="shared" si="23"/>
        <v>0.5</v>
      </c>
      <c r="O134" s="1">
        <f t="shared" si="24"/>
        <v>0.5</v>
      </c>
      <c r="P134" s="1">
        <f t="shared" si="16"/>
        <v>150</v>
      </c>
      <c r="Q134" s="90">
        <f t="shared" si="21"/>
        <v>0</v>
      </c>
      <c r="R134" s="90">
        <f t="shared" si="17"/>
        <v>0</v>
      </c>
      <c r="S134" s="90">
        <f t="shared" si="18"/>
        <v>0</v>
      </c>
    </row>
  </sheetData>
  <sheetProtection password="DD03" sheet="1" objects="1" scenarios="1"/>
  <mergeCells count="5">
    <mergeCell ref="A1:L1"/>
    <mergeCell ref="C4:D4"/>
    <mergeCell ref="C5:D5"/>
    <mergeCell ref="C6:D6"/>
    <mergeCell ref="J7:L7"/>
  </mergeCells>
  <dataValidations disablePrompts="1" count="1">
    <dataValidation type="decimal" allowBlank="1" showInputMessage="1" showErrorMessage="1" sqref="E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Step 1</vt:lpstr>
      <vt:lpstr>Step 2</vt:lpstr>
      <vt:lpstr>Inductor Worksheet</vt:lpstr>
      <vt:lpstr>Other Core</vt:lpstr>
      <vt:lpstr>Step 3</vt:lpstr>
      <vt:lpstr>TCO Worksheet</vt:lpstr>
      <vt:lpstr>Cores</vt:lpstr>
      <vt:lpstr>Frequency</vt:lpstr>
      <vt:lpstr>Front_end</vt:lpstr>
      <vt:lpstr>Topology</vt:lpstr>
    </vt:vector>
  </TitlesOfParts>
  <Company>ON Semiconductor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FG3PRF</dc:creator>
  <cp:lastModifiedBy>Bernie Weir</cp:lastModifiedBy>
  <dcterms:created xsi:type="dcterms:W3CDTF">2012-07-22T14:55:21Z</dcterms:created>
  <dcterms:modified xsi:type="dcterms:W3CDTF">2013-02-21T19:39:07Z</dcterms:modified>
</cp:coreProperties>
</file>