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120" windowHeight="15120" activeTab="0"/>
  </bookViews>
  <sheets>
    <sheet name="Attempt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Jaromir Uherek</author>
  </authors>
  <commentList>
    <comment ref="B10" authorId="0">
      <text>
        <r>
          <rPr>
            <b/>
            <sz val="8"/>
            <rFont val="Tahoma"/>
            <family val="2"/>
          </rPr>
          <t>Forward LED voltage nominal drive current &amp; operating temperature</t>
        </r>
      </text>
    </comment>
    <comment ref="B19" authorId="0">
      <text>
        <r>
          <rPr>
            <b/>
            <sz val="8"/>
            <rFont val="Tahoma"/>
            <family val="2"/>
          </rPr>
          <t>Diode D forward voltage at nominal drive current</t>
        </r>
      </text>
    </comment>
    <comment ref="B24" authorId="0">
      <text>
        <r>
          <rPr>
            <b/>
            <sz val="8"/>
            <rFont val="Tahoma"/>
            <family val="2"/>
          </rPr>
          <t>Calculated inductor value based on initial inputs</t>
        </r>
      </text>
    </comment>
    <comment ref="B25" authorId="0">
      <text>
        <r>
          <rPr>
            <b/>
            <sz val="8"/>
            <rFont val="Tahoma"/>
            <family val="2"/>
          </rPr>
          <t>Total required capacitance including Cdimm and pin capacitance</t>
        </r>
      </text>
    </comment>
    <comment ref="B20" authorId="0">
      <text>
        <r>
          <rPr>
            <b/>
            <sz val="8"/>
            <rFont val="Tahoma"/>
            <family val="2"/>
          </rPr>
          <t>Current sense resistor</t>
        </r>
      </text>
    </comment>
    <comment ref="B30" authorId="0">
      <text>
        <r>
          <rPr>
            <b/>
            <sz val="8"/>
            <rFont val="Tahoma"/>
            <family val="2"/>
          </rPr>
          <t>Enter nearest standard capacitor value</t>
        </r>
      </text>
    </comment>
    <comment ref="B21" authorId="0">
      <text>
        <r>
          <rPr>
            <b/>
            <sz val="8"/>
            <rFont val="Tahoma"/>
            <family val="2"/>
          </rPr>
          <t>Capacitance is used for loss calculation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 Rshift calculated value</t>
        </r>
      </text>
    </comment>
    <comment ref="B11" authorId="0">
      <text>
        <r>
          <rPr>
            <b/>
            <sz val="8"/>
            <rFont val="Tahoma"/>
            <family val="2"/>
          </rPr>
          <t>Intended average LED current</t>
        </r>
      </text>
    </comment>
    <comment ref="B9" authorId="0">
      <text>
        <r>
          <rPr>
            <b/>
            <sz val="8"/>
            <rFont val="Tahoma"/>
            <family val="2"/>
          </rPr>
          <t>Nominal input voltage</t>
        </r>
      </text>
    </comment>
    <comment ref="B12" authorId="0">
      <text>
        <r>
          <rPr>
            <b/>
            <sz val="8"/>
            <rFont val="Tahoma"/>
            <family val="2"/>
          </rPr>
          <t>Peak-to-peak LED current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Initial target operating frequency </t>
        </r>
      </text>
    </comment>
    <comment ref="B17" authorId="0">
      <text>
        <r>
          <rPr>
            <b/>
            <sz val="8"/>
            <rFont val="Tahoma"/>
            <family val="2"/>
          </rPr>
          <t>Resistor placed between Vin and IVC pin
If pin is grouned, type 0</t>
        </r>
      </text>
    </comment>
    <comment ref="B18" authorId="0">
      <text>
        <r>
          <rPr>
            <b/>
            <sz val="8"/>
            <rFont val="Tahoma"/>
            <family val="2"/>
          </rPr>
          <t>Capacitance of the dimming switch. If no dimming is used, the capacitance is 0 pF</t>
        </r>
      </text>
    </comment>
    <comment ref="B29" authorId="0">
      <text>
        <r>
          <rPr>
            <b/>
            <sz val="8"/>
            <rFont val="Tahoma"/>
            <family val="2"/>
          </rPr>
          <t>Select nearest standard inductor value</t>
        </r>
      </text>
    </comment>
    <comment ref="B31" authorId="0">
      <text>
        <r>
          <rPr>
            <b/>
            <sz val="8"/>
            <rFont val="Tahoma"/>
            <family val="2"/>
          </rPr>
          <t>Enter actual Rshift resistor used</t>
        </r>
      </text>
    </comment>
  </commentList>
</comments>
</file>

<file path=xl/sharedStrings.xml><?xml version="1.0" encoding="utf-8"?>
<sst xmlns="http://schemas.openxmlformats.org/spreadsheetml/2006/main" count="92" uniqueCount="73">
  <si>
    <t>Off time [us]</t>
  </si>
  <si>
    <t>IVC [uA]</t>
  </si>
  <si>
    <t>Vct max [V]</t>
  </si>
  <si>
    <t>Ics [uA]</t>
  </si>
  <si>
    <t>On time [us]</t>
  </si>
  <si>
    <t>LED peak [mA]</t>
  </si>
  <si>
    <t>Frequency [kHz]</t>
  </si>
  <si>
    <t>If any error is detected, it will be shown here</t>
  </si>
  <si>
    <t xml:space="preserve"> </t>
  </si>
  <si>
    <t>User Inputs</t>
  </si>
  <si>
    <t>External Component Selections</t>
  </si>
  <si>
    <t>User Entered Parameters</t>
  </si>
  <si>
    <t>Parametric Calculations</t>
  </si>
  <si>
    <t>Component Calculations</t>
  </si>
  <si>
    <t>Rectifier Forward Voltage [V]</t>
  </si>
  <si>
    <t>pF</t>
  </si>
  <si>
    <t>V</t>
  </si>
  <si>
    <t>kHz</t>
  </si>
  <si>
    <t>mA</t>
  </si>
  <si>
    <t>Vdc</t>
  </si>
  <si>
    <t xml:space="preserve">Vin nom  </t>
  </si>
  <si>
    <t>LED Forward Voltage (nom)</t>
  </si>
  <si>
    <t>Target LED Current</t>
  </si>
  <si>
    <t>LED Peak-Peak Ripple</t>
  </si>
  <si>
    <t>Nominal Switching Frequency</t>
  </si>
  <si>
    <t>RIVC</t>
  </si>
  <si>
    <t>Cdimm</t>
  </si>
  <si>
    <t>Target Component Calculations</t>
  </si>
  <si>
    <t>User Enter Component Selections</t>
  </si>
  <si>
    <t>MΩ</t>
  </si>
  <si>
    <t>Rsense</t>
  </si>
  <si>
    <t>MOSFET Cgs Capacitance</t>
  </si>
  <si>
    <t>Inductor (L)</t>
  </si>
  <si>
    <t>Timing Capacitance</t>
  </si>
  <si>
    <t>Operating Temperature</t>
  </si>
  <si>
    <t>°C</t>
  </si>
  <si>
    <t>Key:</t>
  </si>
  <si>
    <t xml:space="preserve">Rshift </t>
  </si>
  <si>
    <t>kΩ</t>
  </si>
  <si>
    <t xml:space="preserve">Timing Capacitor (CT) </t>
  </si>
  <si>
    <t>Expected Nominal Operating Conditions</t>
  </si>
  <si>
    <t>Off time</t>
  </si>
  <si>
    <t>On time</t>
  </si>
  <si>
    <t>Switching Frequency</t>
  </si>
  <si>
    <t>LED Average Current</t>
  </si>
  <si>
    <t>LED Peak Current</t>
  </si>
  <si>
    <t>LED Ripple Current</t>
  </si>
  <si>
    <t>mW</t>
  </si>
  <si>
    <t>Testing at Corners of Vin and Forward Voltage</t>
  </si>
  <si>
    <t>Minimum Input Voltage</t>
  </si>
  <si>
    <t>Maximum Input Voltage</t>
  </si>
  <si>
    <t>Minimum LED Forward Voltage</t>
  </si>
  <si>
    <t>Maximum LED Forward Voltage</t>
  </si>
  <si>
    <t>Calculated Values at Corner Conditions</t>
  </si>
  <si>
    <t>μH</t>
  </si>
  <si>
    <t>μsec</t>
  </si>
  <si>
    <t>Losses in IC</t>
  </si>
  <si>
    <t>IC Temperature Increase</t>
  </si>
  <si>
    <t>mΩ</t>
  </si>
  <si>
    <t>LED ripple [mA]</t>
  </si>
  <si>
    <t>LED Nominal  [mA]</t>
  </si>
  <si>
    <t>Internal Calculations</t>
  </si>
  <si>
    <t>Polynom</t>
  </si>
  <si>
    <t>polynom</t>
  </si>
  <si>
    <t>Ivc</t>
  </si>
  <si>
    <t>Vct(max)</t>
  </si>
  <si>
    <t>Ics</t>
  </si>
  <si>
    <t>Vct max [V] in</t>
  </si>
  <si>
    <t>Polynom in</t>
  </si>
  <si>
    <t>Vct max [V] out</t>
  </si>
  <si>
    <t>Polynom out</t>
  </si>
  <si>
    <t>CT</t>
  </si>
  <si>
    <t>NCL30100 Design Parameter Calculator     Rev1     7 January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</si>
</sst>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"/>
    <numFmt numFmtId="168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right" vertical="center"/>
    </xf>
    <xf numFmtId="165" fontId="0" fillId="0" borderId="10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33" borderId="11" xfId="0" applyFill="1" applyBorder="1" applyAlignment="1">
      <alignment horizontal="center"/>
    </xf>
    <xf numFmtId="165" fontId="0" fillId="35" borderId="11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165" fontId="0" fillId="34" borderId="1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1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/>
    </xf>
    <xf numFmtId="0" fontId="0" fillId="36" borderId="12" xfId="0" applyFill="1" applyBorder="1" applyAlignment="1">
      <alignment/>
    </xf>
    <xf numFmtId="164" fontId="0" fillId="35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164" fontId="0" fillId="38" borderId="0" xfId="0" applyNumberForma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36" borderId="14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6" borderId="10" xfId="0" applyFill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45" zoomScaleNormal="145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6.28125" style="0" customWidth="1"/>
    <col min="2" max="2" width="28.8515625" style="0" customWidth="1"/>
    <col min="3" max="4" width="11.28125" style="0" bestFit="1" customWidth="1"/>
    <col min="5" max="5" width="14.8515625" style="0" bestFit="1" customWidth="1"/>
    <col min="6" max="6" width="15.140625" style="0" bestFit="1" customWidth="1"/>
    <col min="7" max="7" width="15.140625" style="0" customWidth="1"/>
    <col min="8" max="8" width="15.140625" style="0" bestFit="1" customWidth="1"/>
    <col min="9" max="9" width="17.28125" style="0" bestFit="1" customWidth="1"/>
    <col min="10" max="10" width="12.7109375" style="0" hidden="1" customWidth="1"/>
    <col min="11" max="11" width="15.7109375" style="0" hidden="1" customWidth="1"/>
    <col min="12" max="12" width="14.7109375" style="0" hidden="1" customWidth="1"/>
    <col min="13" max="13" width="11.00390625" style="0" hidden="1" customWidth="1"/>
    <col min="14" max="14" width="12.57421875" style="0" hidden="1" customWidth="1"/>
    <col min="15" max="15" width="9.7109375" style="0" bestFit="1" customWidth="1"/>
    <col min="16" max="16" width="9.57421875" style="0" bestFit="1" customWidth="1"/>
    <col min="17" max="17" width="9.421875" style="0" bestFit="1" customWidth="1"/>
    <col min="18" max="18" width="9.28125" style="0" bestFit="1" customWidth="1"/>
  </cols>
  <sheetData>
    <row r="1" spans="1:8" ht="12.75">
      <c r="A1" s="40" t="s">
        <v>72</v>
      </c>
      <c r="B1" s="41"/>
      <c r="C1" s="41"/>
      <c r="D1" s="41"/>
      <c r="E1" s="41"/>
      <c r="F1" s="41"/>
      <c r="G1" s="41"/>
      <c r="H1" s="41"/>
    </row>
    <row r="2" spans="1:8" ht="12.75">
      <c r="A2" s="41"/>
      <c r="B2" s="41"/>
      <c r="C2" s="41"/>
      <c r="D2" s="41"/>
      <c r="E2" s="41"/>
      <c r="F2" s="41"/>
      <c r="G2" s="41"/>
      <c r="H2" s="41"/>
    </row>
    <row r="3" spans="1:8" ht="12.75">
      <c r="A3" s="26"/>
      <c r="B3" s="26"/>
      <c r="C3" s="26"/>
      <c r="D3" s="26"/>
      <c r="E3" s="26"/>
      <c r="F3" s="26"/>
      <c r="G3" s="26"/>
      <c r="H3" s="26"/>
    </row>
    <row r="5" spans="1:3" ht="12.75">
      <c r="A5" t="s">
        <v>36</v>
      </c>
      <c r="B5" s="14" t="s">
        <v>11</v>
      </c>
      <c r="C5" s="2"/>
    </row>
    <row r="6" spans="2:3" ht="12.75">
      <c r="B6" s="14" t="s">
        <v>12</v>
      </c>
      <c r="C6" s="4"/>
    </row>
    <row r="7" spans="2:3" ht="12.75">
      <c r="B7" s="14" t="s">
        <v>13</v>
      </c>
      <c r="C7" s="11"/>
    </row>
    <row r="8" ht="12.75">
      <c r="A8" t="s">
        <v>9</v>
      </c>
    </row>
    <row r="9" spans="2:4" ht="12.75">
      <c r="B9" s="24" t="s">
        <v>20</v>
      </c>
      <c r="C9" s="16">
        <v>12</v>
      </c>
      <c r="D9" t="s">
        <v>19</v>
      </c>
    </row>
    <row r="10" spans="2:4" ht="12.75">
      <c r="B10" s="22" t="s">
        <v>21</v>
      </c>
      <c r="C10" s="16">
        <v>3.3</v>
      </c>
      <c r="D10" t="s">
        <v>19</v>
      </c>
    </row>
    <row r="11" spans="2:12" ht="12.75">
      <c r="B11" s="22" t="s">
        <v>22</v>
      </c>
      <c r="C11" s="16">
        <v>700</v>
      </c>
      <c r="D11" t="s">
        <v>18</v>
      </c>
      <c r="J11" s="6"/>
      <c r="K11" s="6"/>
      <c r="L11" s="8"/>
    </row>
    <row r="12" spans="2:12" ht="12.75">
      <c r="B12" s="22" t="s">
        <v>23</v>
      </c>
      <c r="C12" s="16">
        <v>150</v>
      </c>
      <c r="D12" t="s">
        <v>18</v>
      </c>
      <c r="J12" s="6"/>
      <c r="K12" s="6"/>
      <c r="L12" s="8"/>
    </row>
    <row r="13" spans="2:12" ht="12.75">
      <c r="B13" s="22" t="s">
        <v>24</v>
      </c>
      <c r="C13" s="16">
        <v>300</v>
      </c>
      <c r="D13" t="s">
        <v>17</v>
      </c>
      <c r="J13" s="6"/>
      <c r="K13" s="6"/>
      <c r="L13" s="8"/>
    </row>
    <row r="14" spans="2:4" ht="12.75">
      <c r="B14" s="28" t="s">
        <v>34</v>
      </c>
      <c r="C14" s="2">
        <v>25</v>
      </c>
      <c r="D14" t="s">
        <v>35</v>
      </c>
    </row>
    <row r="16" spans="1:12" ht="12.75">
      <c r="A16" t="s">
        <v>10</v>
      </c>
      <c r="K16" s="6"/>
      <c r="L16" s="8"/>
    </row>
    <row r="17" spans="2:12" ht="12.75">
      <c r="B17" s="24" t="s">
        <v>25</v>
      </c>
      <c r="C17" s="16">
        <v>1.5</v>
      </c>
      <c r="D17" t="s">
        <v>29</v>
      </c>
      <c r="K17" s="6"/>
      <c r="L17" s="8"/>
    </row>
    <row r="18" spans="2:4" ht="12.75">
      <c r="B18" s="22" t="s">
        <v>26</v>
      </c>
      <c r="C18" s="16">
        <v>0</v>
      </c>
      <c r="D18" t="s">
        <v>15</v>
      </c>
    </row>
    <row r="19" spans="2:4" ht="12.75">
      <c r="B19" s="22" t="s">
        <v>14</v>
      </c>
      <c r="C19" s="16">
        <v>0.4</v>
      </c>
      <c r="D19" t="s">
        <v>16</v>
      </c>
    </row>
    <row r="20" spans="2:4" ht="12.75">
      <c r="B20" s="22" t="s">
        <v>30</v>
      </c>
      <c r="C20" s="16">
        <v>100</v>
      </c>
      <c r="D20" t="s">
        <v>58</v>
      </c>
    </row>
    <row r="21" spans="2:12" ht="12.75">
      <c r="B21" s="22" t="s">
        <v>31</v>
      </c>
      <c r="C21" s="2">
        <v>560</v>
      </c>
      <c r="D21" t="s">
        <v>15</v>
      </c>
      <c r="K21" s="27" t="s">
        <v>61</v>
      </c>
      <c r="L21" s="34"/>
    </row>
    <row r="22" spans="11:12" ht="12.75">
      <c r="K22" s="33"/>
      <c r="L22" s="34"/>
    </row>
    <row r="23" spans="1:12" ht="12.75">
      <c r="A23" t="s">
        <v>27</v>
      </c>
      <c r="B23" s="23"/>
      <c r="C23" s="23"/>
      <c r="D23" s="21"/>
      <c r="K23" s="30" t="s">
        <v>1</v>
      </c>
      <c r="L23" s="35">
        <f>IF(C17=0,0,((C9/(C17*1000000+17*1000))*1000000))</f>
        <v>7.910349373764008</v>
      </c>
    </row>
    <row r="24" spans="2:12" ht="12.75">
      <c r="B24" s="25" t="s">
        <v>32</v>
      </c>
      <c r="C24" s="17">
        <f>(1/C13/1000)*(((C10+C19)/((C10+C19)+(C9-C10))*100)/100)*(C9-C10)/(C12/1000)*1000000</f>
        <v>57.688172043010766</v>
      </c>
      <c r="D24" t="s">
        <v>54</v>
      </c>
      <c r="K24" s="30" t="s">
        <v>2</v>
      </c>
      <c r="L24" s="35">
        <f>IF(L23&gt;50,(2.6),(L26))</f>
        <v>1.5802403173622241</v>
      </c>
    </row>
    <row r="25" spans="2:12" ht="12.75">
      <c r="B25" s="24" t="s">
        <v>33</v>
      </c>
      <c r="C25" s="18">
        <f>1000000000000*(0.00005*((((1-((C10+C19)/((C10+C19)+(C9-C10))))*1/(C13*1000)*1000000)-0)/1000000)/L30)-8-C18</f>
        <v>65.9985447695445</v>
      </c>
      <c r="D25" t="s">
        <v>15</v>
      </c>
      <c r="E25" s="36"/>
      <c r="K25" s="30" t="s">
        <v>3</v>
      </c>
      <c r="L25" s="31">
        <f>IF(L23&gt;50,12.5,-0.75*L23+50)</f>
        <v>44.067237969676995</v>
      </c>
    </row>
    <row r="26" spans="2:12" ht="12.75">
      <c r="B26" s="22" t="s">
        <v>37</v>
      </c>
      <c r="C26" s="29">
        <f>((C20*0.001*((C11+C12/2)*0.001-((C9-C10)*0.000000215/(C29*0.000001)))+0.038)/(L25*0.000001))*0.001</f>
        <v>2.5474306402626747</v>
      </c>
      <c r="D26" t="s">
        <v>38</v>
      </c>
      <c r="E26" s="39"/>
      <c r="K26" s="30" t="s">
        <v>62</v>
      </c>
      <c r="L26" s="35">
        <f>(1.58*((L23-24.6)*(L23-48.6))/((7.9-24.6)*(7.9-48.6))+1.94*((L23-7.9)*(L23-48.6))/((24.6-7.9)*(24.6-48.6))+2.36*((L23-7.9)*(L23-24.6))/((48.6-7.9)*(48.6-24.6)))</f>
        <v>1.5802403173622241</v>
      </c>
    </row>
    <row r="27" spans="5:12" ht="12.75">
      <c r="E27" s="39"/>
      <c r="K27" s="30" t="s">
        <v>69</v>
      </c>
      <c r="L27" s="35">
        <f>IF(L23&gt;50,(2.6),(L28))</f>
        <v>1.5802403173622241</v>
      </c>
    </row>
    <row r="28" spans="1:12" ht="12.75">
      <c r="A28" t="s">
        <v>28</v>
      </c>
      <c r="K28" s="30" t="s">
        <v>70</v>
      </c>
      <c r="L28" s="35">
        <f>(1.58*((L23-24.6)*(L23-48.6))/((7.9-24.6)*(7.9-48.6))+1.94*((L23-7.9)*(L23-48.6))/((24.6-7.9)*(24.6-48.6))+2.36*((L23-7.9)*(L23-24.6))/((48.6-7.9)*(48.6-24.6)))+IF((-0.004545*C30+0.2)&lt;0,0,(-0.004545*C30+0.2))</f>
        <v>1.5802403173622241</v>
      </c>
    </row>
    <row r="29" spans="2:12" ht="12.75">
      <c r="B29" s="24" t="s">
        <v>32</v>
      </c>
      <c r="C29" s="16">
        <v>57.7</v>
      </c>
      <c r="D29" t="s">
        <v>54</v>
      </c>
      <c r="K29" s="30" t="s">
        <v>71</v>
      </c>
      <c r="L29" s="35">
        <f>1000000000000*(0.00005*((((1-((C10+C19)/((C10+C19)+(C9-C10))*100)/100)*1/(C13*1000)*1000000)-0.22)/1000000)/L24)-8-C18</f>
        <v>59.03757821329218</v>
      </c>
    </row>
    <row r="30" spans="2:12" ht="12.75">
      <c r="B30" s="24" t="s">
        <v>39</v>
      </c>
      <c r="C30" s="16">
        <v>66</v>
      </c>
      <c r="D30" t="s">
        <v>15</v>
      </c>
      <c r="H30" s="36"/>
      <c r="K30" s="30" t="s">
        <v>67</v>
      </c>
      <c r="L30" s="35">
        <f>IF(L23&gt;50,(2.6),(L31))</f>
        <v>1.5802403173622241</v>
      </c>
    </row>
    <row r="31" spans="2:12" ht="12.75">
      <c r="B31" s="22" t="s">
        <v>37</v>
      </c>
      <c r="C31" s="2">
        <v>2.547</v>
      </c>
      <c r="D31" t="s">
        <v>38</v>
      </c>
      <c r="H31" s="36"/>
      <c r="K31" s="30" t="s">
        <v>68</v>
      </c>
      <c r="L31" s="35">
        <f>(1.58*((L23-24.6)*(L23-48.6))/((7.9-24.6)*(7.9-48.6))+1.94*((L23-7.9)*(L23-48.6))/((24.6-7.9)*(24.6-48.6))+2.36*((L23-7.9)*(L23-24.6))/((48.6-7.9)*(48.6-24.6)))+IF((-0.004545*L29+0.2)&lt;0,0,(-0.004545*L29+0.2))</f>
        <v>1.5802403173622241</v>
      </c>
    </row>
    <row r="32" ht="13.5" thickBot="1"/>
    <row r="33" spans="1:7" ht="12.75">
      <c r="A33" t="s">
        <v>40</v>
      </c>
      <c r="E33" s="49" t="s">
        <v>7</v>
      </c>
      <c r="F33" s="50"/>
      <c r="G33" s="51"/>
    </row>
    <row r="34" spans="2:7" ht="13.5" thickBot="1">
      <c r="B34" s="24" t="s">
        <v>41</v>
      </c>
      <c r="C34" s="4">
        <f>L27*(C30+8+C18)*0.000000000001/0.00005*1000000+0</f>
        <v>2.338755669696092</v>
      </c>
      <c r="D34" t="s">
        <v>55</v>
      </c>
      <c r="E34" s="52"/>
      <c r="F34" s="53"/>
      <c r="G34" s="54"/>
    </row>
    <row r="35" spans="2:7" ht="12.75">
      <c r="B35" s="24" t="s">
        <v>42</v>
      </c>
      <c r="C35" s="4">
        <f>C38*0.001*C29*0.000001/(C9-C10)*1000000</f>
        <v>0.9946432158477633</v>
      </c>
      <c r="D35" t="s">
        <v>55</v>
      </c>
      <c r="E35" s="43">
        <f>IF(OR(C9&gt;18,C45&gt;18),"Vin is high, please use zener diode",)&amp;IF(OR(C9&lt;7,C44&lt;7),"Vin is too low",)&amp;IF(C13&gt;700,"Operation frequency is too high",)&amp;IF(L23&gt;180,"Ivc is too high",)&amp;IF(C36&gt;700,"Operation frequency is too high",)&amp;IF(C41&gt;125,"Temperature of the IC is too high",)&amp;IF(C44&lt;C45,,"Vin max must be higher than Vin min")&amp;IF(OR(F52&gt;700,F53&gt;700,F54&gt;700,F55&gt;700,F56&gt;700,F57&gt;700),"Operation frequency in corner is too high",)&amp;IF((C9-C10)&lt;1,"Vin is too close to V LED, or is higher",)&amp;IF(OR(C46&gt;C10,C10&gt;C47),"V LED is not between min and max V LED corner",)&amp;IF((C44-C47)&lt;1,"Vin min is too close to V LED max, or is higher",)&amp;IF(OR(C37=0,C39=0),"Unstable or discontinous operation",)</f>
      </c>
      <c r="F35" s="44"/>
      <c r="G35" s="45"/>
    </row>
    <row r="36" spans="2:7" ht="13.5" thickBot="1">
      <c r="B36" s="24" t="s">
        <v>43</v>
      </c>
      <c r="C36" s="5">
        <f>1/(C34+C35)*1000</f>
        <v>299.9941004170723</v>
      </c>
      <c r="D36" t="s">
        <v>17</v>
      </c>
      <c r="E36" s="46"/>
      <c r="F36" s="47"/>
      <c r="G36" s="48"/>
    </row>
    <row r="37" spans="2:4" ht="12.75">
      <c r="B37" s="24" t="s">
        <v>44</v>
      </c>
      <c r="C37" s="3">
        <f>IF((C39-(C38/2))&lt;0,0,(C39-(C38/2)))</f>
        <v>699.8241284024431</v>
      </c>
      <c r="D37" t="s">
        <v>18</v>
      </c>
    </row>
    <row r="38" spans="2:4" ht="12.75">
      <c r="B38" s="24" t="s">
        <v>46</v>
      </c>
      <c r="C38" s="3">
        <f>(C10+C19)*C34*0.000001/(C29*0.000001)*1000</f>
        <v>149.97220065642182</v>
      </c>
      <c r="D38" t="s">
        <v>18</v>
      </c>
    </row>
    <row r="39" spans="2:4" ht="12.75">
      <c r="B39" s="24" t="s">
        <v>45</v>
      </c>
      <c r="C39" s="3">
        <f>IF(((((C31*1000*L25*0.000001-0.038)/(C20*0.001))+((C9-C10)*0.000000215/(C29*0.000001)))*1000)&lt;0,0,((((C31*1000*L25*0.000001-0.038)/(C20*0.001))+((C9-C10)*0.000000215/(C29*0.000001)))*1000))</f>
        <v>774.810228730654</v>
      </c>
      <c r="D39" t="s">
        <v>18</v>
      </c>
    </row>
    <row r="40" spans="2:4" ht="12.75">
      <c r="B40" s="24" t="s">
        <v>56</v>
      </c>
      <c r="C40" s="3">
        <f>C9*(0.0003+C21*0.000000000001*(IF(C9&gt;18,18,C9))*C36*1000)*1000</f>
        <v>27.791524257632705</v>
      </c>
      <c r="D40" t="s">
        <v>47</v>
      </c>
    </row>
    <row r="41" spans="2:4" ht="12.75">
      <c r="B41" s="22" t="s">
        <v>57</v>
      </c>
      <c r="C41" s="3">
        <f>C40*0.001*178+C14</f>
        <v>29.946891317858622</v>
      </c>
      <c r="D41" t="s">
        <v>35</v>
      </c>
    </row>
    <row r="43" ht="12.75">
      <c r="A43" t="s">
        <v>48</v>
      </c>
    </row>
    <row r="44" spans="2:4" ht="12.75">
      <c r="B44" s="24" t="s">
        <v>49</v>
      </c>
      <c r="C44" s="2">
        <v>8</v>
      </c>
      <c r="D44" t="s">
        <v>16</v>
      </c>
    </row>
    <row r="45" spans="2:4" ht="12.75">
      <c r="B45" s="24" t="s">
        <v>50</v>
      </c>
      <c r="C45" s="2">
        <v>18</v>
      </c>
      <c r="D45" t="s">
        <v>16</v>
      </c>
    </row>
    <row r="46" spans="2:4" ht="12.75">
      <c r="B46" s="24" t="s">
        <v>51</v>
      </c>
      <c r="C46" s="2">
        <v>2.9</v>
      </c>
      <c r="D46" t="s">
        <v>16</v>
      </c>
    </row>
    <row r="47" spans="2:4" ht="12.75">
      <c r="B47" s="22" t="s">
        <v>52</v>
      </c>
      <c r="C47" s="2">
        <v>3.6</v>
      </c>
      <c r="D47" t="s">
        <v>16</v>
      </c>
    </row>
    <row r="49" spans="9:17" ht="13.5" customHeight="1">
      <c r="I49" s="19"/>
      <c r="J49" s="19"/>
      <c r="K49" s="19"/>
      <c r="L49" s="8"/>
      <c r="Q49" s="1"/>
    </row>
    <row r="50" spans="1:17" ht="13.5" customHeight="1">
      <c r="A50" t="s">
        <v>53</v>
      </c>
      <c r="L50" s="8"/>
      <c r="Q50" s="1"/>
    </row>
    <row r="51" spans="4:14" ht="12.75">
      <c r="D51" s="12" t="s">
        <v>0</v>
      </c>
      <c r="E51" s="12" t="s">
        <v>4</v>
      </c>
      <c r="F51" s="12" t="s">
        <v>6</v>
      </c>
      <c r="G51" s="32" t="s">
        <v>59</v>
      </c>
      <c r="H51" s="12" t="s">
        <v>5</v>
      </c>
      <c r="I51" s="12" t="s">
        <v>60</v>
      </c>
      <c r="K51" s="37" t="s">
        <v>63</v>
      </c>
      <c r="L51" s="37" t="s">
        <v>64</v>
      </c>
      <c r="M51" s="38" t="s">
        <v>65</v>
      </c>
      <c r="N51" s="38" t="s">
        <v>66</v>
      </c>
    </row>
    <row r="52" spans="2:14" ht="12.75">
      <c r="B52" s="42" t="str">
        <f>"V LED = "&amp;C10&amp;" V"</f>
        <v>V LED = 3.3 V</v>
      </c>
      <c r="C52" s="13" t="str">
        <f>"V in = "&amp;C44&amp;" V"</f>
        <v>V in = 8 V</v>
      </c>
      <c r="D52" s="4">
        <f>M52*(C30+8+C18)*0.000000000001/0.00005*1000000+0</f>
        <v>2.247117539305683</v>
      </c>
      <c r="E52" s="4">
        <f>((C10+C19)*D52*0.000001/(C29*0.000001)*1000)*0.001*C29*0.000001/(C44-C10)*1000000</f>
        <v>1.7690074245597924</v>
      </c>
      <c r="F52" s="5">
        <f aca="true" t="shared" si="0" ref="F52:F57">1/(D52+E52)*1000</f>
        <v>248.99623617227064</v>
      </c>
      <c r="G52" s="5">
        <f>(C10+C19)*D52*0.000001/(C29*0.000001)*1000</f>
        <v>144.0959253974181</v>
      </c>
      <c r="H52" s="20">
        <f>IF(((((C31*1000*N52*0.000001-0.038)/(C20*0.001))+((C44-C10)*0.000000215/(C29*0.000001)))*1000)&lt;0,0,((((C31*1000*N52*0.000001-0.038)/(C20*0.001))+((C44-C10)*0.000000215/(C29*0.000001)))*1000))</f>
        <v>810.2746989920131</v>
      </c>
      <c r="I52" s="5">
        <f aca="true" t="shared" si="1" ref="I52:I57">H52-(G52/2)</f>
        <v>738.226736293304</v>
      </c>
      <c r="K52">
        <f>(1.58*((L52-24.6)*(L52-48.6))/((7.9-24.6)*(7.9-48.6))+1.94*((L52-7.9)*(L52-48.6))/((24.6-7.9)*(24.6-48.6))+2.36*((L52-7.9)*(L52-24.6))/((48.6-7.9)*(48.6-24.6)))+IF((-0.004545*C30+0.2)&lt;0,0,(-0.004545*C30+0.2))</f>
        <v>1.5183226616930292</v>
      </c>
      <c r="L52" s="10">
        <f>IF(C17=0,0,((C44/(C17*1000000+17*1000))*1000000))</f>
        <v>5.273566249176006</v>
      </c>
      <c r="M52">
        <f>IF(L52&gt;50,(2.6),(K52))</f>
        <v>1.5183226616930292</v>
      </c>
      <c r="N52" s="9">
        <f>IF(L52&gt;50,12.5,-0.75*L52+50)</f>
        <v>46.044825313118</v>
      </c>
    </row>
    <row r="53" spans="2:14" ht="12.75">
      <c r="B53" s="42"/>
      <c r="C53" s="13" t="str">
        <f>"V in = "&amp;C45&amp;" V"</f>
        <v>V in = 18 V</v>
      </c>
      <c r="D53" s="4">
        <f>M53*(C30+8+C18)*0.000000000001/0.00005*1000000+0</f>
        <v>2.4723665912444908</v>
      </c>
      <c r="E53" s="4">
        <f>((C10+C19)*D53*0.000001/(C29*0.000001)*1000)*0.001*C29*0.000001/(C45-C10)*1000000</f>
        <v>0.6222963528982729</v>
      </c>
      <c r="F53" s="5">
        <f t="shared" si="0"/>
        <v>323.13696775692154</v>
      </c>
      <c r="G53" s="5">
        <f>(C10+C19)*D53*0.000001/(C29*0.000001)*1000</f>
        <v>158.5399720555392</v>
      </c>
      <c r="H53" s="20">
        <f>IF(((((C31*1000*N53*0.000001-0.038)/(C20*0.001))+((C45-C10)*0.000000215/(C29*0.000001)))*1000)&lt;0,0,((((C31*1000*N53*0.000001-0.038)/(C20*0.001))+((C45-C10)*0.000000215/(C29*0.000001)))*1000))</f>
        <v>721.6135233386152</v>
      </c>
      <c r="I53" s="5">
        <f t="shared" si="1"/>
        <v>642.3435373108456</v>
      </c>
      <c r="K53">
        <f>(1.58*((L53-24.6)*(L53-48.6))/((7.9-24.6)*(7.9-48.6))+1.94*((L53-7.9)*(L53-48.6))/((24.6-7.9)*(24.6-48.6))+2.36*((L53-7.9)*(L53-24.6))/((48.6-7.9)*(48.6-24.6)))+IF((-0.004545*C30+0.2)&lt;0,0,(-0.004545*C30+0.2))</f>
        <v>1.6705179670570884</v>
      </c>
      <c r="L53" s="10">
        <f>IF(C17=0,0,((C45/(C17*1000000+17*1000))*1000000))</f>
        <v>11.865524060646012</v>
      </c>
      <c r="M53">
        <f>IF(L53&gt;50,(2.6),(K53))</f>
        <v>1.6705179670570884</v>
      </c>
      <c r="N53" s="9">
        <f>IF(L53&gt;50,12.5,-0.75*L53+50)</f>
        <v>41.10085695451549</v>
      </c>
    </row>
    <row r="54" spans="2:12" ht="12.75">
      <c r="B54" s="42" t="str">
        <f>"V LED = "&amp;C46&amp;" V"</f>
        <v>V LED = 2.9 V</v>
      </c>
      <c r="C54" s="13" t="str">
        <f>"V in = "&amp;C44&amp;" V"</f>
        <v>V in = 8 V</v>
      </c>
      <c r="D54" s="4">
        <f>M52*(C30+8+C18)*0.000000000001/0.00005*1000000+0</f>
        <v>2.247117539305683</v>
      </c>
      <c r="E54" s="4">
        <f>((C46+C19)*D54*0.000001/(C29*0.000001)*1000)*0.001*C29*0.000001/(C44-C10)*1000000</f>
        <v>1.577763378661437</v>
      </c>
      <c r="F54" s="5">
        <f t="shared" si="0"/>
        <v>261.44604798088415</v>
      </c>
      <c r="G54" s="5">
        <f>(C46+C19)*D54*0.000001/(C29*0.000001)*1000</f>
        <v>128.51798751661616</v>
      </c>
      <c r="H54" s="20">
        <f>IF(((((C31*1000*N52*0.000001-0.038)/(C20*0.001))+((C44-C46)*0.000000215/(C29*0.000001)))*1000)&lt;0,0,((((C31*1000*N52*0.000001-0.038)/(C20*0.001))+((C44-C46)*0.000000215/(C29*0.000001)))*1000))</f>
        <v>811.7651669296214</v>
      </c>
      <c r="I54" s="5">
        <f t="shared" si="1"/>
        <v>747.5061731713133</v>
      </c>
      <c r="J54" s="15"/>
      <c r="K54" s="15"/>
      <c r="L54" s="8"/>
    </row>
    <row r="55" spans="2:12" ht="12.75">
      <c r="B55" s="42"/>
      <c r="C55" s="13" t="str">
        <f>"V in = "&amp;C45&amp;" V"</f>
        <v>V in = 18 V</v>
      </c>
      <c r="D55" s="4">
        <f>M53*(C30+8+C18)*0.000000000001/0.00005*1000000+0</f>
        <v>2.4723665912444908</v>
      </c>
      <c r="E55" s="4">
        <f>((C46+C19)*D55*0.000001/(C29*0.000001)*1000)*0.001*C29*0.000001/(C45-C10)*1000000</f>
        <v>0.5550210715038653</v>
      </c>
      <c r="F55" s="5">
        <f t="shared" si="0"/>
        <v>330.31778926263087</v>
      </c>
      <c r="G55" s="5">
        <f>(C46+C19)*D55*0.000001/(C29*0.000001)*1000</f>
        <v>141.40051561710257</v>
      </c>
      <c r="H55" s="20">
        <f>IF(((((C31*1000*N53*0.000001-0.038)/(C20*0.001))+((C45-C46)*0.000000215/(C29*0.000001)))*1000)&lt;0,0,((((C31*1000*N53*0.000001-0.038)/(C20*0.001))+((C45-C46)*0.000000215/(C29*0.000001)))*1000))</f>
        <v>723.1039912762236</v>
      </c>
      <c r="I55" s="5">
        <f t="shared" si="1"/>
        <v>652.4037334676723</v>
      </c>
      <c r="J55" s="6"/>
      <c r="K55" s="6"/>
      <c r="L55" s="8"/>
    </row>
    <row r="56" spans="2:12" ht="12.75">
      <c r="B56" s="42" t="str">
        <f>"V LED = "&amp;C47&amp;" V"</f>
        <v>V LED = 3.6 V</v>
      </c>
      <c r="C56" s="13" t="str">
        <f>"V in = "&amp;C44&amp;" V"</f>
        <v>V in = 8 V</v>
      </c>
      <c r="D56" s="4">
        <f>M52*(C30+8+C18)*0.000000000001/0.00005*1000000+0</f>
        <v>2.247117539305683</v>
      </c>
      <c r="E56" s="4">
        <f>((C47+C19)*D56*0.000001/(C29*0.000001)*1000)*0.001*C29*0.000001/(C44-C10)*1000000</f>
        <v>1.91244045898356</v>
      </c>
      <c r="F56" s="5">
        <f t="shared" si="0"/>
        <v>240.41015906288203</v>
      </c>
      <c r="G56" s="5">
        <f>(C47+C19)*D56*0.000001/(C29*0.000001)*1000</f>
        <v>155.77937880801963</v>
      </c>
      <c r="H56" s="20">
        <f>IF(((((C31*1000*N52*0.000001-0.038)/(C20*0.001))+((C44-C47)*0.000000215/(C29*0.000001)))*1000)&lt;0,0,((((C31*1000*N52*0.000001-0.038)/(C20*0.001))+((C44-C47)*0.000000215/(C29*0.000001)))*1000))</f>
        <v>809.1568480388069</v>
      </c>
      <c r="I56" s="5">
        <f t="shared" si="1"/>
        <v>731.267158634797</v>
      </c>
      <c r="J56" s="6"/>
      <c r="K56" s="6"/>
      <c r="L56" s="8"/>
    </row>
    <row r="57" spans="2:12" ht="12.75">
      <c r="B57" s="42" t="s">
        <v>8</v>
      </c>
      <c r="C57" s="13" t="str">
        <f>"V in = "&amp;C45&amp;" V"</f>
        <v>V in = 18 V</v>
      </c>
      <c r="D57" s="4">
        <f>M53*(C30+8+C18)*0.000000000001/0.00005*1000000+0</f>
        <v>2.4723665912444908</v>
      </c>
      <c r="E57" s="4">
        <f>((C47+C19)*D57*0.000001/(C29*0.000001)*1000)*0.001*C29*0.000001/(C45-C10)*1000000</f>
        <v>0.6727528139440793</v>
      </c>
      <c r="F57" s="5">
        <f t="shared" si="0"/>
        <v>317.95295223140937</v>
      </c>
      <c r="G57" s="5">
        <f>(C47+C19)*D57*0.000001/(C29*0.000001)*1000</f>
        <v>171.3945643843668</v>
      </c>
      <c r="H57" s="20">
        <f>IF(((((C31*1000*N53*0.000001-0.038)/(C20*0.001))+((C45-C47)*0.000000215/(C29*0.000001)))*1000)&lt;0,0,((((C31*1000*N53*0.000001-0.038)/(C20*0.001))+((C45-C47)*0.000000215/(C29*0.000001)))*1000))</f>
        <v>720.495672385409</v>
      </c>
      <c r="I57" s="5">
        <f t="shared" si="1"/>
        <v>634.7983901932256</v>
      </c>
      <c r="J57" s="6"/>
      <c r="K57" s="6"/>
      <c r="L57" s="8"/>
    </row>
    <row r="58" spans="10:12" ht="12.75">
      <c r="J58" s="6"/>
      <c r="K58" s="6"/>
      <c r="L58" s="8"/>
    </row>
    <row r="59" spans="10:12" ht="12.75">
      <c r="J59" s="6"/>
      <c r="K59" s="6"/>
      <c r="L59" s="8"/>
    </row>
    <row r="60" spans="10:12" ht="12.75">
      <c r="J60" s="6"/>
      <c r="K60" s="6"/>
      <c r="L60" s="8"/>
    </row>
    <row r="61" spans="10:12" ht="12.75">
      <c r="J61" s="6"/>
      <c r="K61" s="6"/>
      <c r="L61" s="8"/>
    </row>
    <row r="62" spans="10:12" ht="12.75">
      <c r="J62" s="6"/>
      <c r="K62" s="6"/>
      <c r="L62" s="8"/>
    </row>
    <row r="63" spans="10:12" ht="12.75">
      <c r="J63" s="6"/>
      <c r="K63" s="6"/>
      <c r="L63" s="8"/>
    </row>
    <row r="64" spans="10:12" ht="12.75">
      <c r="J64" s="6"/>
      <c r="K64" s="6"/>
      <c r="L64" s="8"/>
    </row>
    <row r="65" spans="10:12" ht="12.75">
      <c r="J65" s="6"/>
      <c r="K65" s="6"/>
      <c r="L65" s="8"/>
    </row>
    <row r="66" spans="10:12" ht="12.75">
      <c r="J66" s="6"/>
      <c r="K66" s="6"/>
      <c r="L66" s="8"/>
    </row>
    <row r="67" spans="10:12" ht="12.75">
      <c r="J67" s="6"/>
      <c r="K67" s="6"/>
      <c r="L67" s="8"/>
    </row>
    <row r="68" spans="10:12" ht="12.75">
      <c r="J68" s="6"/>
      <c r="K68" s="6"/>
      <c r="L68" s="8"/>
    </row>
    <row r="69" spans="10:12" ht="12.75">
      <c r="J69" s="6"/>
      <c r="K69" s="6"/>
      <c r="L69" s="8"/>
    </row>
    <row r="70" spans="10:12" ht="12.75">
      <c r="J70" s="6"/>
      <c r="K70" s="6"/>
      <c r="L70" s="8"/>
    </row>
    <row r="71" spans="12:13" ht="12.75">
      <c r="L71" s="7"/>
      <c r="M71" s="7"/>
    </row>
  </sheetData>
  <sheetProtection/>
  <mergeCells count="6">
    <mergeCell ref="A1:H2"/>
    <mergeCell ref="B52:B53"/>
    <mergeCell ref="B54:B55"/>
    <mergeCell ref="B56:B57"/>
    <mergeCell ref="E35:G36"/>
    <mergeCell ref="E33:G34"/>
  </mergeCells>
  <printOptions/>
  <pageMargins left="0.75" right="0.75" top="1" bottom="1" header="0.5" footer="0.5"/>
  <pageSetup horizontalDpi="600" verticalDpi="600" orientation="portrait" paperSize="9" r:id="rId4"/>
  <legacyDrawing r:id="rId3"/>
  <oleObjects>
    <oleObject progId="Visio.Drawing.11" shapeId="4935849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Jaromir Uherek</dc:creator>
  <cp:keywords/>
  <dc:description/>
  <cp:lastModifiedBy>fft6vg</cp:lastModifiedBy>
  <dcterms:created xsi:type="dcterms:W3CDTF">2009-04-16T06:10:57Z</dcterms:created>
  <dcterms:modified xsi:type="dcterms:W3CDTF">2011-01-12T12:09:52Z</dcterms:modified>
  <cp:category/>
  <cp:version/>
  <cp:contentType/>
  <cp:contentStatus/>
</cp:coreProperties>
</file>