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g6bwj\Documents\ApplicationsEngineer\NCV890x30 x = 4,5\NCV890430\For Web\"/>
    </mc:Choice>
  </mc:AlternateContent>
  <bookViews>
    <workbookView xWindow="0" yWindow="0" windowWidth="23040" windowHeight="9408"/>
  </bookViews>
  <sheets>
    <sheet name="Intro" sheetId="3" r:id="rId1"/>
    <sheet name="Component Selection" sheetId="4" r:id="rId2"/>
    <sheet name="Thermal Calculator" sheetId="2" r:id="rId3"/>
    <sheet name="Minimum Vin" sheetId="1" r:id="rId4"/>
  </sheets>
  <calcPr calcId="152511"/>
</workbook>
</file>

<file path=xl/calcChain.xml><?xml version="1.0" encoding="utf-8"?>
<calcChain xmlns="http://schemas.openxmlformats.org/spreadsheetml/2006/main">
  <c r="B14" i="4" l="1"/>
  <c r="F10" i="2" l="1"/>
  <c r="B10" i="2"/>
  <c r="B9" i="2"/>
  <c r="B8" i="2"/>
  <c r="E3" i="4"/>
  <c r="C5" i="1"/>
  <c r="D12" i="1" l="1"/>
  <c r="B16" i="2"/>
  <c r="B19" i="4" l="1"/>
  <c r="B26" i="4" s="1"/>
  <c r="B31" i="4"/>
  <c r="B30" i="4"/>
  <c r="B25" i="4"/>
  <c r="B20" i="4"/>
  <c r="B32" i="4" l="1"/>
  <c r="B21" i="4"/>
  <c r="B22" i="4"/>
  <c r="F8" i="2" l="1"/>
  <c r="B11" i="2"/>
  <c r="F9" i="2" s="1"/>
  <c r="F16" i="2" s="1"/>
  <c r="F14" i="2"/>
  <c r="F17" i="2"/>
  <c r="F19" i="2"/>
  <c r="H15" i="2" l="1"/>
  <c r="F12" i="2"/>
  <c r="F18" i="2" s="1"/>
  <c r="F20" i="2" s="1"/>
  <c r="H18" i="2"/>
  <c r="F2" i="2" l="1"/>
  <c r="N2" i="2" s="1"/>
  <c r="O2" i="2" s="1"/>
  <c r="F21" i="2"/>
  <c r="F9" i="1" l="1"/>
  <c r="F10" i="1"/>
  <c r="F11" i="1"/>
  <c r="F12" i="1"/>
  <c r="F13" i="1"/>
  <c r="F14" i="1"/>
  <c r="F15" i="1"/>
  <c r="F16" i="1"/>
  <c r="F17" i="1"/>
  <c r="F8" i="1"/>
  <c r="E9" i="1" l="1"/>
  <c r="E10" i="1"/>
  <c r="E11" i="1"/>
  <c r="E12" i="1"/>
  <c r="E13" i="1"/>
  <c r="E14" i="1"/>
  <c r="E15" i="1"/>
  <c r="E16" i="1"/>
  <c r="E17" i="1"/>
  <c r="E8" i="1"/>
  <c r="D9" i="1"/>
  <c r="D10" i="1"/>
  <c r="D11" i="1"/>
  <c r="D13" i="1"/>
  <c r="D14" i="1"/>
  <c r="D15" i="1"/>
  <c r="D16" i="1"/>
  <c r="D17" i="1"/>
  <c r="D8" i="1"/>
</calcChain>
</file>

<file path=xl/comments1.xml><?xml version="1.0" encoding="utf-8"?>
<comments xmlns="http://schemas.openxmlformats.org/spreadsheetml/2006/main">
  <authors>
    <author>Matt Majeika</author>
  </authors>
  <commentList>
    <comment ref="L1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Thermal resistance of the package</t>
        </r>
      </text>
    </comment>
    <comment ref="N1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Temperature rise in the die due to the power dissipation losses</t>
        </r>
      </text>
    </comment>
    <comment ref="O1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Maximum ambient temperature based on minimum TSD specification of 150</t>
        </r>
        <r>
          <rPr>
            <sz val="9"/>
            <color indexed="81"/>
            <rFont val="Calibri"/>
            <family val="2"/>
          </rPr>
          <t>°</t>
        </r>
        <r>
          <rPr>
            <sz val="9"/>
            <color indexed="81"/>
            <rFont val="Tahoma"/>
            <family val="2"/>
          </rPr>
          <t>C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Total power dissipation in the IC</t>
        </r>
      </text>
    </comment>
    <comment ref="G10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DCR of the output inductor</t>
        </r>
      </text>
    </comment>
    <comment ref="G18" authorId="0" shapeId="0">
      <text>
        <r>
          <rPr>
            <b/>
            <sz val="9"/>
            <color indexed="81"/>
            <rFont val="Tahoma"/>
            <family val="2"/>
          </rPr>
          <t>Matt Majeika:</t>
        </r>
        <r>
          <rPr>
            <sz val="9"/>
            <color indexed="81"/>
            <rFont val="Tahoma"/>
            <family val="2"/>
          </rPr>
          <t xml:space="preserve">
SMPS losses, including conduction losses, switching losses, and Iq losses</t>
        </r>
      </text>
    </comment>
  </commentList>
</comments>
</file>

<file path=xl/sharedStrings.xml><?xml version="1.0" encoding="utf-8"?>
<sst xmlns="http://schemas.openxmlformats.org/spreadsheetml/2006/main" count="171" uniqueCount="132">
  <si>
    <t>Iout</t>
  </si>
  <si>
    <t>Vin min @ 150C</t>
  </si>
  <si>
    <t>Vin min @ 25C</t>
  </si>
  <si>
    <t>Calculates the Vin thresholds at which the regulator loses regulation.</t>
  </si>
  <si>
    <t>Vin min @ 105C</t>
  </si>
  <si>
    <t>W</t>
  </si>
  <si>
    <t>Total Pin</t>
  </si>
  <si>
    <t>Total Ploss</t>
  </si>
  <si>
    <t>Ploss - Vdrive</t>
  </si>
  <si>
    <t>A</t>
  </si>
  <si>
    <t>Idrive</t>
  </si>
  <si>
    <t>Ploss - SMPS</t>
  </si>
  <si>
    <t>IOUT Peak (A)</t>
  </si>
  <si>
    <t>Piq</t>
  </si>
  <si>
    <t>Iq</t>
  </si>
  <si>
    <t>kHz</t>
  </si>
  <si>
    <t>fsw</t>
  </si>
  <si>
    <t>ns</t>
  </si>
  <si>
    <t>toff</t>
  </si>
  <si>
    <t>IOUT RMS (A)</t>
  </si>
  <si>
    <t>Psw</t>
  </si>
  <si>
    <t>ton</t>
  </si>
  <si>
    <t>Ω</t>
  </si>
  <si>
    <t>RdsonLS</t>
  </si>
  <si>
    <t>Pcon</t>
  </si>
  <si>
    <t>RdsonHS</t>
  </si>
  <si>
    <t>Iripple (p-p)</t>
  </si>
  <si>
    <t>DCR</t>
  </si>
  <si>
    <t>IL RMS</t>
  </si>
  <si>
    <t>V</t>
  </si>
  <si>
    <t>D</t>
  </si>
  <si>
    <t>Power Loss for Synchronous Buck</t>
  </si>
  <si>
    <t xml:space="preserve">Total Loss: </t>
  </si>
  <si>
    <t>°C/W</t>
  </si>
  <si>
    <t>DFN8 3x3 mm</t>
  </si>
  <si>
    <t>Normal Application</t>
  </si>
  <si>
    <r>
      <t>Max 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ambient)</t>
    </r>
  </si>
  <si>
    <r>
      <t>T (</t>
    </r>
    <r>
      <rPr>
        <b/>
        <u/>
        <sz val="11"/>
        <color theme="1"/>
        <rFont val="Calibri"/>
        <family val="2"/>
      </rPr>
      <t xml:space="preserve">°C </t>
    </r>
    <r>
      <rPr>
        <b/>
        <u/>
        <sz val="11"/>
        <color theme="1"/>
        <rFont val="Calibri"/>
        <family val="2"/>
        <scheme val="minor"/>
      </rPr>
      <t>rise)</t>
    </r>
  </si>
  <si>
    <r>
      <t>R</t>
    </r>
    <r>
      <rPr>
        <u/>
        <sz val="11"/>
        <color theme="1"/>
        <rFont val="Calibri"/>
        <family val="2"/>
      </rPr>
      <t>θJA</t>
    </r>
  </si>
  <si>
    <t>Package</t>
  </si>
  <si>
    <t>NCV890430 Thermal Calculation Tool</t>
  </si>
  <si>
    <t>Notes:</t>
  </si>
  <si>
    <t>Revision: 3</t>
  </si>
  <si>
    <t>NCV890430 Design Tools</t>
  </si>
  <si>
    <t>DESIGN INPUTS</t>
  </si>
  <si>
    <t>MINIMUM INPUT VOLTAGE</t>
  </si>
  <si>
    <t>MAXIMUM INPUT VOLTAGE</t>
  </si>
  <si>
    <t>NOMINAL INPUT VOLTAGE</t>
  </si>
  <si>
    <t>OUTPUT VOLTAGE</t>
  </si>
  <si>
    <t>MINIMUM LOAD CURRENT</t>
  </si>
  <si>
    <t xml:space="preserve">MAXIMUM LOAD CURRENT </t>
  </si>
  <si>
    <t>SWITCHING FREQUENCY</t>
  </si>
  <si>
    <t>HIGH SIDE MOSFET ON RESISTANCE</t>
  </si>
  <si>
    <t>LOW SIDE MOSFET ON RESISTANCE</t>
  </si>
  <si>
    <t>INPUT CAPACITOR</t>
  </si>
  <si>
    <t>DUTY CYCLE</t>
  </si>
  <si>
    <t>INPUT RIPPLE VOLTAGE</t>
  </si>
  <si>
    <t>INPUT CAPACITOR RMS CURRENT</t>
  </si>
  <si>
    <t>INDUCTOR</t>
  </si>
  <si>
    <t>LOAD RESISTANCE</t>
  </si>
  <si>
    <t>MINIMUM OUTPUT INDUCTANCE</t>
  </si>
  <si>
    <t>MINIMUM INPUT CAPACITANCE</t>
  </si>
  <si>
    <t>DCR (INDUCTOR RESISTANCE)</t>
  </si>
  <si>
    <t>OUTPUT CAPACITOR</t>
  </si>
  <si>
    <t>LOAD STEP</t>
  </si>
  <si>
    <t>CHANGE IN OUTPUT VOLTAGE</t>
  </si>
  <si>
    <t>MINIMUM OUTPUT CAPACITANCE</t>
  </si>
  <si>
    <t>ESR OF OUTPUT CAPACITOR</t>
  </si>
  <si>
    <t>UNIT</t>
  </si>
  <si>
    <t>MHz</t>
  </si>
  <si>
    <t xml:space="preserve">OUTPUT VOLTAGE CHANGE (STEP LOAD) </t>
  </si>
  <si>
    <t>%</t>
  </si>
  <si>
    <t>Symbol</t>
  </si>
  <si>
    <t>Vin_max</t>
  </si>
  <si>
    <t>Vin_min</t>
  </si>
  <si>
    <t>Vin_nom</t>
  </si>
  <si>
    <t>Vout</t>
  </si>
  <si>
    <t>Iout_min</t>
  </si>
  <si>
    <t>Iout_max</t>
  </si>
  <si>
    <t>Fsw</t>
  </si>
  <si>
    <t>RHSON</t>
  </si>
  <si>
    <t>RLSON</t>
  </si>
  <si>
    <t>Cin</t>
  </si>
  <si>
    <t>∆Vin_nom</t>
  </si>
  <si>
    <t>Cin_min</t>
  </si>
  <si>
    <t>I_cRMS</t>
  </si>
  <si>
    <t>L</t>
  </si>
  <si>
    <t>Rload</t>
  </si>
  <si>
    <t>L_min</t>
  </si>
  <si>
    <t>R_DCR</t>
  </si>
  <si>
    <t>Cout</t>
  </si>
  <si>
    <t>∆Iout</t>
  </si>
  <si>
    <r>
      <rPr>
        <sz val="11"/>
        <color theme="1"/>
        <rFont val="Times New Roman"/>
        <family val="1"/>
      </rPr>
      <t>%∆</t>
    </r>
    <r>
      <rPr>
        <sz val="11"/>
        <color theme="1"/>
        <rFont val="Calibri"/>
        <family val="2"/>
      </rPr>
      <t>Vout</t>
    </r>
  </si>
  <si>
    <t>∆Vout</t>
  </si>
  <si>
    <t>Cout_min</t>
  </si>
  <si>
    <t>R_ESR</t>
  </si>
  <si>
    <r>
      <t>m</t>
    </r>
    <r>
      <rPr>
        <sz val="11"/>
        <color theme="1"/>
        <rFont val="Times New Roman"/>
        <family val="1"/>
      </rPr>
      <t>Ω</t>
    </r>
  </si>
  <si>
    <t>uF</t>
  </si>
  <si>
    <t>INDUCTOR CURRENT RIPPLE</t>
  </si>
  <si>
    <t>%∆IL</t>
  </si>
  <si>
    <t>uH</t>
  </si>
  <si>
    <t>Ω</t>
  </si>
  <si>
    <t>I</t>
  </si>
  <si>
    <t>VALUE</t>
  </si>
  <si>
    <t>FOLDBACK THRESHOLD</t>
  </si>
  <si>
    <t>V_fld</t>
  </si>
  <si>
    <t>Value Limit or Range</t>
  </si>
  <si>
    <t>4.7 to 18</t>
  </si>
  <si>
    <t>2.5, 3.3, 5.0</t>
  </si>
  <si>
    <t>Date Released: August 2016</t>
  </si>
  <si>
    <t xml:space="preserve">IOUT </t>
  </si>
  <si>
    <t>VOUT</t>
  </si>
  <si>
    <t>These tools are intended for informational use only and do not guarantee values or design parameters.</t>
  </si>
  <si>
    <t>Component Selection, Thermal Calculator, Minimum Input Voltage Calculator</t>
  </si>
  <si>
    <t xml:space="preserve">Some of the cells have prepopulated formulas in them to offer suggested values. These may be changed by the user. </t>
  </si>
  <si>
    <t>DEVICE SPECIFICATIONS</t>
  </si>
  <si>
    <t>Automatically entered from the Component Selection Tool</t>
  </si>
  <si>
    <t>Blue Boxes can be edited by the user to input design specifications.</t>
  </si>
  <si>
    <t xml:space="preserve"> Purple boxes can be edited by the user to reflect selected component values. </t>
  </si>
  <si>
    <t xml:space="preserve"> Light blue boxes are automatically updated by values from the Component Selection sheet.</t>
  </si>
  <si>
    <t xml:space="preserve"> In some cells, the font will turn red if an inputted value is outside of the specification limits.</t>
  </si>
  <si>
    <t>NCV890430 min input voltage calculator</t>
  </si>
  <si>
    <t>Fsync</t>
  </si>
  <si>
    <t>SYNCI FREQUENCY (LEAVE AS 2 MHz IF NOT USED)</t>
  </si>
  <si>
    <r>
      <t>R</t>
    </r>
    <r>
      <rPr>
        <sz val="11"/>
        <color theme="1"/>
        <rFont val="Franklin Gothic Book"/>
        <family val="2"/>
      </rPr>
      <t>θ</t>
    </r>
    <r>
      <rPr>
        <sz val="11"/>
        <color theme="1"/>
        <rFont val="Calibri"/>
        <family val="2"/>
      </rPr>
      <t>JA Look Up Table</t>
    </r>
  </si>
  <si>
    <t>Conditions</t>
  </si>
  <si>
    <r>
      <t>RθJA Value [</t>
    </r>
    <r>
      <rPr>
        <sz val="11"/>
        <color theme="1"/>
        <rFont val="Franklin Gothic Book"/>
        <family val="2"/>
      </rPr>
      <t>°</t>
    </r>
    <r>
      <rPr>
        <sz val="11"/>
        <color theme="1"/>
        <rFont val="Calibri"/>
        <family val="2"/>
        <scheme val="minor"/>
      </rPr>
      <t>C/W]</t>
    </r>
  </si>
  <si>
    <r>
      <t>4 Layers (2 Signal, 2 Power), 1 oz plane , 1 oz copper, 100 mm</t>
    </r>
    <r>
      <rPr>
        <sz val="11"/>
        <rFont val="Franklin Gothic Book"/>
        <family val="2"/>
      </rPr>
      <t>²</t>
    </r>
    <r>
      <rPr>
        <sz val="11"/>
        <rFont val="Calibri"/>
        <family val="2"/>
      </rPr>
      <t xml:space="preserve"> copper area</t>
    </r>
  </si>
  <si>
    <r>
      <t>1 Layer, 1 oz plane, 1 oz copper, 100 mm</t>
    </r>
    <r>
      <rPr>
        <sz val="11"/>
        <rFont val="Franklin Gothic Book"/>
        <family val="2"/>
      </rPr>
      <t>²</t>
    </r>
    <r>
      <rPr>
        <sz val="11"/>
        <rFont val="Calibri"/>
        <family val="2"/>
      </rPr>
      <t xml:space="preserve"> copper area</t>
    </r>
  </si>
  <si>
    <r>
      <t>4 Layers (2 Signal, 2 Power), 1 oz plane , 1 oz copper, 645 mm</t>
    </r>
    <r>
      <rPr>
        <sz val="11"/>
        <rFont val="Franklin Gothic Book"/>
        <family val="2"/>
      </rPr>
      <t>²</t>
    </r>
    <r>
      <rPr>
        <sz val="11"/>
        <rFont val="Calibri"/>
        <family val="2"/>
      </rPr>
      <t xml:space="preserve"> (1 in</t>
    </r>
    <r>
      <rPr>
        <sz val="11"/>
        <rFont val="Franklin Gothic Book"/>
        <family val="2"/>
      </rPr>
      <t>²</t>
    </r>
    <r>
      <rPr>
        <sz val="11"/>
        <rFont val="Calibri"/>
        <family val="2"/>
      </rPr>
      <t>) copper area</t>
    </r>
  </si>
  <si>
    <t>Use Look Up Table</t>
  </si>
  <si>
    <t>Pind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</si>
</sst>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3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7" tint="0.39997558519241921"/>
      <name val="Calibri"/>
      <family val="2"/>
    </font>
    <font>
      <sz val="11"/>
      <color theme="7" tint="0.3999755851924192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 tint="0.34998626667073579"/>
      <name val="Calibri"/>
      <family val="2"/>
      <scheme val="minor"/>
    </font>
    <font>
      <sz val="11"/>
      <color theme="1" tint="0.34998626667073579"/>
      <name val="Calibri"/>
      <family val="2"/>
      <scheme val="minor"/>
    </font>
    <font>
      <sz val="11"/>
      <color theme="6" tint="0.39997558519241921"/>
      <name val="Calibri"/>
      <family val="2"/>
      <scheme val="minor"/>
    </font>
    <font>
      <sz val="11"/>
      <color theme="6" tint="0.39997558519241921"/>
      <name val="Calibri"/>
      <family val="2"/>
    </font>
    <font>
      <sz val="11"/>
      <color theme="1" tint="0.34998626667073579"/>
      <name val="Calibri"/>
      <family val="2"/>
    </font>
    <font>
      <b/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</font>
    <font>
      <u/>
      <sz val="11"/>
      <color theme="1"/>
      <name val="Calibri"/>
      <family val="2"/>
      <scheme val="minor"/>
    </font>
    <font>
      <u/>
      <sz val="11"/>
      <color theme="1"/>
      <name val="Calibri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  <scheme val="minor"/>
    </font>
    <font>
      <i/>
      <sz val="11"/>
      <name val="Calibri"/>
      <family val="2"/>
      <scheme val="minor"/>
    </font>
    <font>
      <b/>
      <sz val="2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Franklin Gothic Book"/>
      <family val="2"/>
    </font>
    <font>
      <sz val="11"/>
      <name val="Franklin Gothic Book"/>
      <family val="2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4" fillId="3" borderId="0" applyNumberFormat="0" applyBorder="0" applyAlignment="0" applyProtection="0"/>
  </cellStyleXfs>
  <cellXfs count="17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0" xfId="0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2" fontId="0" fillId="0" borderId="9" xfId="0" applyNumberForma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7" xfId="0" applyNumberFormat="1" applyBorder="1" applyAlignment="1">
      <alignment horizontal="center"/>
    </xf>
    <xf numFmtId="0" fontId="1" fillId="0" borderId="8" xfId="0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0" fillId="0" borderId="0" xfId="0" applyProtection="1"/>
    <xf numFmtId="2" fontId="0" fillId="0" borderId="0" xfId="0" applyNumberFormat="1" applyProtection="1"/>
    <xf numFmtId="0" fontId="0" fillId="0" borderId="0" xfId="0" applyNumberFormat="1" applyProtection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0" borderId="0" xfId="0" applyNumberFormat="1" applyFill="1" applyBorder="1" applyProtection="1"/>
    <xf numFmtId="0" fontId="1" fillId="0" borderId="0" xfId="0" applyFont="1" applyFill="1" applyBorder="1" applyProtection="1"/>
    <xf numFmtId="2" fontId="1" fillId="0" borderId="0" xfId="0" applyNumberFormat="1" applyFont="1" applyFill="1" applyBorder="1" applyProtection="1"/>
    <xf numFmtId="2" fontId="5" fillId="0" borderId="0" xfId="0" applyNumberFormat="1" applyFont="1" applyFill="1" applyBorder="1" applyAlignment="1" applyProtection="1"/>
    <xf numFmtId="0" fontId="5" fillId="0" borderId="0" xfId="0" applyFont="1" applyFill="1" applyBorder="1" applyAlignment="1" applyProtection="1"/>
    <xf numFmtId="0" fontId="6" fillId="0" borderId="0" xfId="0" applyFont="1" applyFill="1" applyBorder="1" applyProtection="1"/>
    <xf numFmtId="0" fontId="7" fillId="0" borderId="0" xfId="0" applyNumberFormat="1" applyFont="1" applyFill="1" applyBorder="1" applyProtection="1"/>
    <xf numFmtId="0" fontId="7" fillId="0" borderId="0" xfId="0" applyFont="1" applyFill="1" applyBorder="1" applyProtection="1"/>
    <xf numFmtId="0" fontId="0" fillId="0" borderId="0" xfId="0" applyAlignment="1" applyProtection="1"/>
    <xf numFmtId="164" fontId="5" fillId="0" borderId="0" xfId="0" applyNumberFormat="1" applyFont="1" applyFill="1" applyBorder="1" applyAlignment="1" applyProtection="1"/>
    <xf numFmtId="0" fontId="8" fillId="0" borderId="0" xfId="0" applyFont="1" applyFill="1" applyBorder="1" applyProtection="1"/>
    <xf numFmtId="0" fontId="1" fillId="0" borderId="0" xfId="0" applyFont="1" applyFill="1" applyBorder="1" applyAlignment="1" applyProtection="1"/>
    <xf numFmtId="0" fontId="9" fillId="0" borderId="0" xfId="0" applyFont="1" applyFill="1" applyBorder="1" applyProtection="1"/>
    <xf numFmtId="2" fontId="9" fillId="0" borderId="0" xfId="0" applyNumberFormat="1" applyFont="1" applyFill="1" applyBorder="1" applyProtection="1"/>
    <xf numFmtId="0" fontId="10" fillId="0" borderId="0" xfId="0" applyFont="1" applyFill="1" applyBorder="1" applyAlignment="1" applyProtection="1"/>
    <xf numFmtId="0" fontId="11" fillId="0" borderId="0" xfId="0" applyNumberFormat="1" applyFont="1" applyFill="1" applyBorder="1" applyAlignment="1" applyProtection="1">
      <alignment horizontal="left"/>
    </xf>
    <xf numFmtId="0" fontId="10" fillId="0" borderId="0" xfId="0" applyFont="1" applyFill="1" applyBorder="1" applyProtection="1"/>
    <xf numFmtId="2" fontId="10" fillId="0" borderId="0" xfId="0" applyNumberFormat="1" applyFont="1" applyFill="1" applyBorder="1" applyProtection="1"/>
    <xf numFmtId="0" fontId="12" fillId="0" borderId="0" xfId="0" applyFont="1" applyFill="1" applyBorder="1" applyProtection="1"/>
    <xf numFmtId="0" fontId="11" fillId="0" borderId="0" xfId="0" applyFont="1" applyFill="1" applyBorder="1" applyProtection="1"/>
    <xf numFmtId="2" fontId="11" fillId="0" borderId="0" xfId="0" applyNumberFormat="1" applyFont="1" applyFill="1" applyBorder="1" applyProtection="1"/>
    <xf numFmtId="0" fontId="0" fillId="0" borderId="0" xfId="0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21" xfId="0" applyBorder="1" applyAlignment="1" applyProtection="1"/>
    <xf numFmtId="0" fontId="0" fillId="0" borderId="0" xfId="0" applyAlignment="1">
      <alignment wrapText="1"/>
    </xf>
    <xf numFmtId="0" fontId="23" fillId="0" borderId="0" xfId="0" applyFont="1" applyFill="1" applyProtection="1"/>
    <xf numFmtId="0" fontId="23" fillId="0" borderId="0" xfId="0" applyNumberFormat="1" applyFont="1" applyFill="1" applyProtection="1"/>
    <xf numFmtId="0" fontId="0" fillId="0" borderId="25" xfId="0" applyBorder="1"/>
    <xf numFmtId="0" fontId="0" fillId="0" borderId="25" xfId="0" applyFill="1" applyBorder="1"/>
    <xf numFmtId="0" fontId="23" fillId="0" borderId="0" xfId="0" applyFont="1" applyFill="1" applyProtection="1">
      <protection hidden="1"/>
    </xf>
    <xf numFmtId="0" fontId="23" fillId="0" borderId="0" xfId="0" applyNumberFormat="1" applyFont="1" applyFill="1" applyProtection="1">
      <protection hidden="1"/>
    </xf>
    <xf numFmtId="0" fontId="24" fillId="0" borderId="0" xfId="0" applyFont="1" applyFill="1" applyProtection="1">
      <protection hidden="1"/>
    </xf>
    <xf numFmtId="2" fontId="23" fillId="0" borderId="0" xfId="0" applyNumberFormat="1" applyFont="1" applyFill="1" applyProtection="1"/>
    <xf numFmtId="2" fontId="23" fillId="0" borderId="0" xfId="0" applyNumberFormat="1" applyFont="1" applyFill="1" applyProtection="1">
      <protection hidden="1"/>
    </xf>
    <xf numFmtId="0" fontId="23" fillId="0" borderId="0" xfId="0" applyFont="1" applyFill="1" applyBorder="1" applyProtection="1"/>
    <xf numFmtId="0" fontId="23" fillId="0" borderId="0" xfId="0" applyFont="1" applyProtection="1"/>
    <xf numFmtId="2" fontId="23" fillId="0" borderId="0" xfId="0" applyNumberFormat="1" applyFont="1" applyProtection="1"/>
    <xf numFmtId="0" fontId="23" fillId="0" borderId="0" xfId="0" applyNumberFormat="1" applyFont="1" applyProtection="1"/>
    <xf numFmtId="0" fontId="23" fillId="0" borderId="0" xfId="0" applyFont="1" applyAlignment="1" applyProtection="1">
      <alignment horizontal="right"/>
    </xf>
    <xf numFmtId="0" fontId="23" fillId="0" borderId="3" xfId="0" applyFont="1" applyFill="1" applyBorder="1" applyProtection="1"/>
    <xf numFmtId="0" fontId="24" fillId="0" borderId="3" xfId="0" applyFont="1" applyFill="1" applyBorder="1" applyProtection="1"/>
    <xf numFmtId="0" fontId="25" fillId="0" borderId="0" xfId="0" applyFont="1" applyFill="1" applyProtection="1"/>
    <xf numFmtId="2" fontId="25" fillId="0" borderId="0" xfId="0" applyNumberFormat="1" applyFont="1" applyFill="1" applyProtection="1"/>
    <xf numFmtId="0" fontId="25" fillId="0" borderId="0" xfId="0" applyFont="1" applyFill="1" applyBorder="1" applyAlignment="1" applyProtection="1"/>
    <xf numFmtId="0" fontId="23" fillId="0" borderId="0" xfId="0" applyNumberFormat="1" applyFont="1" applyFill="1" applyBorder="1" applyProtection="1"/>
    <xf numFmtId="2" fontId="23" fillId="0" borderId="0" xfId="0" applyNumberFormat="1" applyFont="1" applyFill="1" applyBorder="1" applyProtection="1"/>
    <xf numFmtId="0" fontId="24" fillId="0" borderId="0" xfId="0" applyFont="1" applyFill="1" applyBorder="1" applyProtection="1"/>
    <xf numFmtId="0" fontId="26" fillId="0" borderId="0" xfId="0" applyFont="1" applyFill="1" applyBorder="1" applyAlignment="1" applyProtection="1"/>
    <xf numFmtId="164" fontId="26" fillId="0" borderId="0" xfId="0" applyNumberFormat="1" applyFont="1" applyFill="1" applyBorder="1" applyAlignment="1" applyProtection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0" fontId="0" fillId="0" borderId="31" xfId="0" applyBorder="1"/>
    <xf numFmtId="0" fontId="8" fillId="0" borderId="31" xfId="0" applyFont="1" applyBorder="1"/>
    <xf numFmtId="0" fontId="0" fillId="0" borderId="32" xfId="0" applyBorder="1"/>
    <xf numFmtId="0" fontId="0" fillId="0" borderId="33" xfId="0" applyBorder="1"/>
    <xf numFmtId="0" fontId="8" fillId="0" borderId="34" xfId="0" applyFont="1" applyBorder="1"/>
    <xf numFmtId="0" fontId="0" fillId="0" borderId="36" xfId="0" applyBorder="1"/>
    <xf numFmtId="0" fontId="0" fillId="0" borderId="37" xfId="0" applyBorder="1"/>
    <xf numFmtId="0" fontId="0" fillId="0" borderId="0" xfId="0" applyBorder="1"/>
    <xf numFmtId="0" fontId="0" fillId="4" borderId="0" xfId="0" applyFill="1" applyBorder="1"/>
    <xf numFmtId="0" fontId="8" fillId="0" borderId="0" xfId="0" applyFont="1" applyBorder="1"/>
    <xf numFmtId="0" fontId="0" fillId="0" borderId="34" xfId="0" applyBorder="1"/>
    <xf numFmtId="0" fontId="0" fillId="0" borderId="25" xfId="0" applyFont="1" applyBorder="1"/>
    <xf numFmtId="0" fontId="0" fillId="0" borderId="30" xfId="0" applyFont="1" applyBorder="1"/>
    <xf numFmtId="0" fontId="0" fillId="0" borderId="31" xfId="0" applyFont="1" applyBorder="1"/>
    <xf numFmtId="0" fontId="0" fillId="0" borderId="32" xfId="0" applyFont="1" applyBorder="1"/>
    <xf numFmtId="0" fontId="0" fillId="0" borderId="33" xfId="0" applyFont="1" applyBorder="1"/>
    <xf numFmtId="0" fontId="0" fillId="0" borderId="34" xfId="0" applyFont="1" applyBorder="1"/>
    <xf numFmtId="0" fontId="0" fillId="7" borderId="35" xfId="0" applyFill="1" applyBorder="1"/>
    <xf numFmtId="0" fontId="0" fillId="7" borderId="27" xfId="0" applyFill="1" applyBorder="1"/>
    <xf numFmtId="0" fontId="0" fillId="7" borderId="27" xfId="0" applyFont="1" applyFill="1" applyBorder="1"/>
    <xf numFmtId="0" fontId="0" fillId="0" borderId="26" xfId="0" applyFill="1" applyBorder="1" applyProtection="1">
      <protection hidden="1"/>
    </xf>
    <xf numFmtId="0" fontId="0" fillId="0" borderId="0" xfId="0" applyProtection="1">
      <protection hidden="1"/>
    </xf>
    <xf numFmtId="0" fontId="0" fillId="6" borderId="28" xfId="0" applyFill="1" applyBorder="1" applyProtection="1">
      <protection locked="0"/>
    </xf>
    <xf numFmtId="0" fontId="0" fillId="6" borderId="25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16" fillId="7" borderId="23" xfId="0" applyFont="1" applyFill="1" applyBorder="1" applyAlignment="1" applyProtection="1">
      <alignment horizontal="center"/>
    </xf>
    <xf numFmtId="0" fontId="14" fillId="7" borderId="24" xfId="0" applyFont="1" applyFill="1" applyBorder="1" applyAlignment="1" applyProtection="1">
      <alignment horizontal="center"/>
    </xf>
    <xf numFmtId="0" fontId="0" fillId="7" borderId="21" xfId="0" applyFill="1" applyBorder="1" applyAlignment="1" applyProtection="1">
      <alignment horizontal="center"/>
    </xf>
    <xf numFmtId="0" fontId="8" fillId="7" borderId="0" xfId="0" applyFont="1" applyFill="1" applyBorder="1" applyProtection="1"/>
    <xf numFmtId="165" fontId="1" fillId="7" borderId="0" xfId="0" applyNumberFormat="1" applyFont="1" applyFill="1" applyBorder="1" applyAlignment="1" applyProtection="1">
      <alignment horizontal="center"/>
    </xf>
    <xf numFmtId="0" fontId="10" fillId="7" borderId="19" xfId="0" applyFont="1" applyFill="1" applyBorder="1" applyAlignment="1" applyProtection="1">
      <alignment horizontal="center"/>
    </xf>
    <xf numFmtId="0" fontId="10" fillId="7" borderId="18" xfId="0" applyFont="1" applyFill="1" applyBorder="1" applyProtection="1"/>
    <xf numFmtId="0" fontId="13" fillId="7" borderId="18" xfId="0" applyFont="1" applyFill="1" applyBorder="1" applyProtection="1"/>
    <xf numFmtId="165" fontId="9" fillId="7" borderId="18" xfId="0" applyNumberFormat="1" applyFont="1" applyFill="1" applyBorder="1" applyAlignment="1" applyProtection="1">
      <alignment horizontal="center"/>
    </xf>
    <xf numFmtId="0" fontId="21" fillId="7" borderId="0" xfId="2" applyFont="1" applyFill="1" applyAlignment="1">
      <alignment wrapText="1"/>
    </xf>
    <xf numFmtId="0" fontId="0" fillId="7" borderId="0" xfId="2" applyFont="1" applyFill="1" applyAlignment="1">
      <alignment wrapText="1"/>
    </xf>
    <xf numFmtId="0" fontId="28" fillId="0" borderId="0" xfId="0" applyFont="1" applyAlignment="1">
      <alignment wrapText="1"/>
    </xf>
    <xf numFmtId="0" fontId="29" fillId="7" borderId="0" xfId="1" applyFont="1" applyFill="1" applyAlignment="1">
      <alignment horizontal="center" vertical="center" wrapText="1"/>
    </xf>
    <xf numFmtId="2" fontId="0" fillId="0" borderId="25" xfId="0" applyNumberFormat="1" applyBorder="1"/>
    <xf numFmtId="0" fontId="0" fillId="0" borderId="1" xfId="0" applyBorder="1"/>
    <xf numFmtId="0" fontId="0" fillId="0" borderId="3" xfId="0" applyBorder="1"/>
    <xf numFmtId="2" fontId="23" fillId="0" borderId="1" xfId="0" applyNumberFormat="1" applyFont="1" applyFill="1" applyBorder="1" applyProtection="1"/>
    <xf numFmtId="0" fontId="0" fillId="8" borderId="28" xfId="0" applyFill="1" applyBorder="1"/>
    <xf numFmtId="0" fontId="0" fillId="8" borderId="29" xfId="0" applyFill="1" applyBorder="1"/>
    <xf numFmtId="0" fontId="0" fillId="8" borderId="28" xfId="0" applyFont="1" applyFill="1" applyBorder="1"/>
    <xf numFmtId="0" fontId="0" fillId="8" borderId="29" xfId="0" applyFont="1" applyFill="1" applyBorder="1"/>
    <xf numFmtId="2" fontId="0" fillId="4" borderId="33" xfId="0" applyNumberFormat="1" applyFill="1" applyBorder="1"/>
    <xf numFmtId="0" fontId="0" fillId="0" borderId="0" xfId="0" applyFill="1" applyBorder="1" applyAlignment="1">
      <alignment horizontal="left" wrapText="1"/>
    </xf>
    <xf numFmtId="0" fontId="0" fillId="6" borderId="25" xfId="0" applyFill="1" applyBorder="1" applyAlignment="1">
      <alignment wrapText="1"/>
    </xf>
    <xf numFmtId="0" fontId="0" fillId="10" borderId="25" xfId="0" applyFill="1" applyBorder="1" applyAlignment="1">
      <alignment wrapText="1"/>
    </xf>
    <xf numFmtId="0" fontId="0" fillId="9" borderId="25" xfId="0" applyFill="1" applyBorder="1" applyAlignment="1">
      <alignment wrapText="1"/>
    </xf>
    <xf numFmtId="0" fontId="30" fillId="0" borderId="25" xfId="0" applyFont="1" applyBorder="1" applyAlignment="1">
      <alignment wrapText="1"/>
    </xf>
    <xf numFmtId="0" fontId="30" fillId="0" borderId="0" xfId="0" applyFont="1" applyBorder="1" applyAlignment="1">
      <alignment wrapText="1"/>
    </xf>
    <xf numFmtId="0" fontId="0" fillId="7" borderId="0" xfId="0" applyFill="1" applyAlignment="1">
      <alignment wrapText="1"/>
    </xf>
    <xf numFmtId="0" fontId="0" fillId="7" borderId="0" xfId="0" applyFill="1" applyAlignment="1">
      <alignment horizontal="left" wrapText="1"/>
    </xf>
    <xf numFmtId="0" fontId="23" fillId="9" borderId="1" xfId="0" applyNumberFormat="1" applyFont="1" applyFill="1" applyBorder="1" applyProtection="1"/>
    <xf numFmtId="2" fontId="23" fillId="9" borderId="1" xfId="0" applyNumberFormat="1" applyFont="1" applyFill="1" applyBorder="1" applyProtection="1"/>
    <xf numFmtId="0" fontId="0" fillId="5" borderId="2" xfId="0" applyFill="1" applyBorder="1" applyAlignment="1" applyProtection="1">
      <alignment horizontal="left"/>
    </xf>
    <xf numFmtId="0" fontId="0" fillId="10" borderId="28" xfId="0" applyFill="1" applyBorder="1" applyProtection="1">
      <protection locked="0"/>
    </xf>
    <xf numFmtId="0" fontId="0" fillId="10" borderId="33" xfId="0" applyFill="1" applyBorder="1" applyProtection="1">
      <protection locked="0"/>
    </xf>
    <xf numFmtId="0" fontId="0" fillId="10" borderId="28" xfId="0" applyFont="1" applyFill="1" applyBorder="1" applyProtection="1">
      <protection locked="0"/>
    </xf>
    <xf numFmtId="0" fontId="0" fillId="10" borderId="33" xfId="0" applyFont="1" applyFill="1" applyBorder="1" applyProtection="1">
      <protection locked="0"/>
    </xf>
    <xf numFmtId="0" fontId="16" fillId="7" borderId="24" xfId="0" applyFont="1" applyFill="1" applyBorder="1" applyAlignment="1" applyProtection="1">
      <alignment horizontal="center"/>
    </xf>
    <xf numFmtId="0" fontId="23" fillId="0" borderId="0" xfId="0" applyFont="1" applyFill="1" applyBorder="1" applyAlignment="1" applyProtection="1"/>
    <xf numFmtId="0" fontId="0" fillId="0" borderId="25" xfId="0" applyFill="1" applyBorder="1" applyProtection="1"/>
    <xf numFmtId="0" fontId="0" fillId="0" borderId="25" xfId="0" applyNumberFormat="1" applyFill="1" applyBorder="1" applyProtection="1"/>
    <xf numFmtId="0" fontId="16" fillId="7" borderId="24" xfId="0" applyFont="1" applyFill="1" applyBorder="1" applyAlignment="1" applyProtection="1"/>
    <xf numFmtId="0" fontId="0" fillId="7" borderId="0" xfId="0" applyFill="1" applyBorder="1" applyAlignment="1" applyProtection="1">
      <alignment horizontal="center"/>
      <protection locked="0"/>
    </xf>
    <xf numFmtId="0" fontId="27" fillId="7" borderId="0" xfId="1" applyFont="1" applyFill="1" applyAlignment="1">
      <alignment horizontal="center" vertical="center" wrapText="1"/>
    </xf>
    <xf numFmtId="0" fontId="0" fillId="7" borderId="0" xfId="0" applyFill="1" applyAlignment="1">
      <alignment horizontal="left" wrapText="1"/>
    </xf>
    <xf numFmtId="0" fontId="0" fillId="4" borderId="38" xfId="0" applyFill="1" applyBorder="1" applyAlignment="1">
      <alignment horizontal="center"/>
    </xf>
    <xf numFmtId="0" fontId="0" fillId="4" borderId="12" xfId="0" applyFill="1" applyBorder="1" applyAlignment="1">
      <alignment horizontal="center"/>
    </xf>
    <xf numFmtId="0" fontId="0" fillId="4" borderId="16" xfId="0" applyFill="1" applyBorder="1" applyAlignment="1">
      <alignment horizontal="center"/>
    </xf>
    <xf numFmtId="0" fontId="23" fillId="0" borderId="25" xfId="0" applyFont="1" applyFill="1" applyBorder="1" applyAlignment="1" applyProtection="1">
      <alignment horizontal="center" wrapText="1"/>
    </xf>
    <xf numFmtId="0" fontId="23" fillId="0" borderId="25" xfId="0" applyNumberFormat="1" applyFont="1" applyFill="1" applyBorder="1" applyAlignment="1" applyProtection="1">
      <alignment horizontal="center"/>
    </xf>
    <xf numFmtId="0" fontId="0" fillId="0" borderId="25" xfId="0" applyFill="1" applyBorder="1" applyAlignment="1" applyProtection="1">
      <alignment horizontal="center"/>
    </xf>
    <xf numFmtId="0" fontId="14" fillId="7" borderId="24" xfId="0" applyFont="1" applyFill="1" applyBorder="1" applyAlignment="1" applyProtection="1">
      <alignment horizontal="center"/>
    </xf>
    <xf numFmtId="0" fontId="14" fillId="7" borderId="22" xfId="0" applyFont="1" applyFill="1" applyBorder="1" applyAlignment="1" applyProtection="1">
      <alignment horizontal="center"/>
    </xf>
    <xf numFmtId="165" fontId="1" fillId="7" borderId="0" xfId="0" applyNumberFormat="1" applyFont="1" applyFill="1" applyBorder="1" applyAlignment="1" applyProtection="1">
      <alignment horizontal="center"/>
    </xf>
    <xf numFmtId="165" fontId="1" fillId="7" borderId="20" xfId="0" applyNumberFormat="1" applyFont="1" applyFill="1" applyBorder="1" applyAlignment="1" applyProtection="1">
      <alignment horizontal="center"/>
    </xf>
    <xf numFmtId="165" fontId="9" fillId="7" borderId="18" xfId="0" applyNumberFormat="1" applyFont="1" applyFill="1" applyBorder="1" applyAlignment="1" applyProtection="1">
      <alignment horizontal="center"/>
    </xf>
    <xf numFmtId="165" fontId="9" fillId="7" borderId="17" xfId="0" applyNumberFormat="1" applyFont="1" applyFill="1" applyBorder="1" applyAlignment="1" applyProtection="1">
      <alignment horizontal="center"/>
    </xf>
    <xf numFmtId="0" fontId="25" fillId="0" borderId="0" xfId="0" applyFont="1" applyFill="1" applyAlignment="1" applyProtection="1">
      <alignment horizontal="center"/>
    </xf>
    <xf numFmtId="0" fontId="25" fillId="0" borderId="0" xfId="0" applyFont="1" applyAlignment="1" applyProtection="1">
      <alignment horizontal="left"/>
    </xf>
    <xf numFmtId="2" fontId="26" fillId="0" borderId="0" xfId="0" applyNumberFormat="1" applyFont="1" applyFill="1" applyAlignment="1" applyProtection="1">
      <alignment horizontal="center"/>
    </xf>
    <xf numFmtId="0" fontId="26" fillId="0" borderId="0" xfId="0" applyFont="1" applyFill="1" applyAlignment="1" applyProtection="1">
      <alignment horizontal="center"/>
    </xf>
    <xf numFmtId="0" fontId="23" fillId="0" borderId="21" xfId="0" applyFont="1" applyBorder="1" applyAlignment="1" applyProtection="1">
      <alignment horizontal="center"/>
    </xf>
    <xf numFmtId="0" fontId="23" fillId="0" borderId="0" xfId="0" applyFont="1" applyAlignment="1" applyProtection="1">
      <alignment horizontal="center"/>
    </xf>
    <xf numFmtId="0" fontId="23" fillId="0" borderId="20" xfId="0" applyFont="1" applyBorder="1" applyAlignment="1" applyProtection="1">
      <alignment horizontal="center"/>
    </xf>
    <xf numFmtId="0" fontId="23" fillId="0" borderId="0" xfId="0" applyFont="1" applyBorder="1" applyAlignment="1" applyProtection="1">
      <alignment horizontal="center"/>
    </xf>
    <xf numFmtId="164" fontId="26" fillId="0" borderId="0" xfId="0" applyNumberFormat="1" applyFont="1" applyFill="1" applyAlignment="1" applyProtection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0" xfId="0" applyAlignment="1">
      <alignment horizontal="center"/>
    </xf>
  </cellXfs>
  <cellStyles count="3">
    <cellStyle name="Good" xfId="1" builtinId="26"/>
    <cellStyle name="Neutral" xfId="2" builtinId="28"/>
    <cellStyle name="Normal" xfId="0" builtinId="0"/>
  </cellStyles>
  <dxfs count="10">
    <dxf>
      <font>
        <color rgb="FFFF0000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3" tint="0.79998168889431442"/>
        </patternFill>
      </fill>
    </dxf>
    <dxf>
      <font>
        <color rgb="FFFF0000"/>
      </font>
      <fill>
        <patternFill>
          <bgColor theme="3" tint="0.79998168889431442"/>
        </patternFill>
      </fill>
    </dxf>
    <dxf>
      <font>
        <color rgb="FFFF0000"/>
      </font>
    </dxf>
    <dxf>
      <font>
        <color rgb="FFFF0000"/>
      </font>
      <fill>
        <patternFill>
          <bgColor theme="3" tint="0.59996337778862885"/>
        </patternFill>
      </fill>
    </dxf>
    <dxf>
      <font>
        <color rgb="FFFF0000"/>
      </font>
      <fill>
        <patternFill>
          <bgColor theme="4" tint="0.39994506668294322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ont>
        <color rgb="FFFF0000"/>
      </font>
      <fill>
        <patternFill>
          <bgColor theme="6" tint="0.39994506668294322"/>
        </patternFill>
      </fill>
    </dxf>
    <dxf>
      <font>
        <color rgb="FFFF0000"/>
      </font>
      <fill>
        <patternFill patternType="solid">
          <bgColor theme="6" tint="0.3999450666829432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264747209629098E-2"/>
          <c:y val="3.9475614495016111E-2"/>
          <c:w val="0.86969495479731695"/>
          <c:h val="0.87145186451041501"/>
        </c:manualLayout>
      </c:layout>
      <c:scatterChart>
        <c:scatterStyle val="lineMarker"/>
        <c:varyColors val="0"/>
        <c:ser>
          <c:idx val="2"/>
          <c:order val="0"/>
          <c:tx>
            <c:strRef>
              <c:f>'Minimum Vin'!$D$7</c:f>
              <c:strCache>
                <c:ptCount val="1"/>
                <c:pt idx="0">
                  <c:v>Vin min @ 150C</c:v>
                </c:pt>
              </c:strCache>
            </c:strRef>
          </c:tx>
          <c:spPr>
            <a:ln>
              <a:solidFill>
                <a:schemeClr val="bg1">
                  <a:lumMod val="50000"/>
                </a:schemeClr>
              </a:solidFill>
            </a:ln>
          </c:spPr>
          <c:marker>
            <c:symbol val="none"/>
          </c:marker>
          <c:xVal>
            <c:numRef>
              <c:f>'Minimum Vin'!$C$8:$C$20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'Minimum Vin'!$D$8:$D$20</c:f>
              <c:numCache>
                <c:formatCode>0.00</c:formatCode>
                <c:ptCount val="13"/>
                <c:pt idx="0">
                  <c:v>3.4</c:v>
                </c:pt>
                <c:pt idx="1">
                  <c:v>3.5</c:v>
                </c:pt>
                <c:pt idx="2">
                  <c:v>3.5999999999999996</c:v>
                </c:pt>
                <c:pt idx="3">
                  <c:v>3.6999999999999997</c:v>
                </c:pt>
                <c:pt idx="4">
                  <c:v>3.8</c:v>
                </c:pt>
                <c:pt idx="5">
                  <c:v>3.9</c:v>
                </c:pt>
                <c:pt idx="6">
                  <c:v>4</c:v>
                </c:pt>
                <c:pt idx="7">
                  <c:v>4.0999999999999996</c:v>
                </c:pt>
                <c:pt idx="8">
                  <c:v>4.2</c:v>
                </c:pt>
                <c:pt idx="9">
                  <c:v>4.3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'Minimum Vin'!$E$7</c:f>
              <c:strCache>
                <c:ptCount val="1"/>
                <c:pt idx="0">
                  <c:v>Vin min @ 25C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'Minimum Vin'!$C$8:$C$20</c:f>
              <c:numCache>
                <c:formatCode>General</c:formatCode>
                <c:ptCount val="13"/>
                <c:pt idx="0">
                  <c:v>0.1</c:v>
                </c:pt>
                <c:pt idx="1">
                  <c:v>0.2</c:v>
                </c:pt>
                <c:pt idx="2">
                  <c:v>0.3</c:v>
                </c:pt>
                <c:pt idx="3">
                  <c:v>0.4</c:v>
                </c:pt>
                <c:pt idx="4">
                  <c:v>0.5</c:v>
                </c:pt>
                <c:pt idx="5">
                  <c:v>0.6</c:v>
                </c:pt>
                <c:pt idx="6">
                  <c:v>0.7</c:v>
                </c:pt>
                <c:pt idx="7">
                  <c:v>0.8</c:v>
                </c:pt>
                <c:pt idx="8">
                  <c:v>0.9</c:v>
                </c:pt>
                <c:pt idx="9">
                  <c:v>1</c:v>
                </c:pt>
              </c:numCache>
            </c:numRef>
          </c:xVal>
          <c:yVal>
            <c:numRef>
              <c:f>'Minimum Vin'!$E$8:$E$20</c:f>
              <c:numCache>
                <c:formatCode>0.00</c:formatCode>
                <c:ptCount val="13"/>
                <c:pt idx="0">
                  <c:v>3.36</c:v>
                </c:pt>
                <c:pt idx="1">
                  <c:v>3.42</c:v>
                </c:pt>
                <c:pt idx="2">
                  <c:v>3.48</c:v>
                </c:pt>
                <c:pt idx="3">
                  <c:v>3.54</c:v>
                </c:pt>
                <c:pt idx="4">
                  <c:v>3.5999999999999996</c:v>
                </c:pt>
                <c:pt idx="5">
                  <c:v>3.6599999999999997</c:v>
                </c:pt>
                <c:pt idx="6">
                  <c:v>3.7199999999999998</c:v>
                </c:pt>
                <c:pt idx="7">
                  <c:v>3.78</c:v>
                </c:pt>
                <c:pt idx="8">
                  <c:v>3.84</c:v>
                </c:pt>
                <c:pt idx="9">
                  <c:v>3.9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17863560"/>
        <c:axId val="317863952"/>
      </c:scatterChart>
      <c:valAx>
        <c:axId val="317863560"/>
        <c:scaling>
          <c:orientation val="minMax"/>
          <c:max val="1.2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Output Current (A)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spPr>
          <a:ln w="25400"/>
        </c:spPr>
        <c:crossAx val="317863952"/>
        <c:crosses val="autoZero"/>
        <c:crossBetween val="midCat"/>
        <c:majorUnit val="0.2"/>
      </c:valAx>
      <c:valAx>
        <c:axId val="31786395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Minimum Input Voltage (V)</a:t>
                </a:r>
              </a:p>
            </c:rich>
          </c:tx>
          <c:overlay val="0"/>
        </c:title>
        <c:numFmt formatCode="0.00" sourceLinked="1"/>
        <c:majorTickMark val="out"/>
        <c:minorTickMark val="none"/>
        <c:tickLblPos val="nextTo"/>
        <c:spPr>
          <a:ln w="25400"/>
        </c:spPr>
        <c:crossAx val="317863560"/>
        <c:crosses val="autoZero"/>
        <c:crossBetween val="midCat"/>
      </c:valAx>
      <c:spPr>
        <a:ln w="25400">
          <a:noFill/>
        </a:ln>
      </c:spPr>
    </c:plotArea>
    <c:legend>
      <c:legendPos val="r"/>
      <c:layout>
        <c:manualLayout>
          <c:xMode val="edge"/>
          <c:yMode val="edge"/>
          <c:x val="0.6728089438647159"/>
          <c:y val="0.6277051610974177"/>
          <c:w val="0.26141171855297446"/>
          <c:h val="0.12858957029863274"/>
        </c:manualLayout>
      </c:layout>
      <c:overlay val="0"/>
      <c:spPr>
        <a:solidFill>
          <a:schemeClr val="bg1"/>
        </a:solidFill>
        <a:ln w="25400">
          <a:solidFill>
            <a:schemeClr val="tx1"/>
          </a:solidFill>
        </a:ln>
      </c:spPr>
    </c:legend>
    <c:plotVisOnly val="1"/>
    <c:dispBlanksAs val="gap"/>
    <c:showDLblsOverMax val="0"/>
  </c:chart>
  <c:printSettings>
    <c:headerFooter/>
    <c:pageMargins b="0.75000000000000089" l="0.70000000000000062" r="0.70000000000000062" t="0.7500000000000008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20</xdr:row>
      <xdr:rowOff>152398</xdr:rowOff>
    </xdr:from>
    <xdr:to>
      <xdr:col>8</xdr:col>
      <xdr:colOff>281940</xdr:colOff>
      <xdr:row>43</xdr:row>
      <xdr:rowOff>167640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26"/>
  <sheetViews>
    <sheetView tabSelected="1" workbookViewId="0">
      <selection activeCell="B22" sqref="B22"/>
    </sheetView>
  </sheetViews>
  <sheetFormatPr defaultRowHeight="14.4" x14ac:dyDescent="0.3"/>
  <cols>
    <col min="2" max="2" width="78.6640625" style="53" customWidth="1"/>
    <col min="4" max="5" width="9.21875" customWidth="1"/>
  </cols>
  <sheetData>
    <row r="2" spans="2:2" ht="14.4" customHeight="1" x14ac:dyDescent="0.3">
      <c r="B2" s="150" t="s">
        <v>43</v>
      </c>
    </row>
    <row r="3" spans="2:2" ht="14.4" customHeight="1" x14ac:dyDescent="0.3">
      <c r="B3" s="150"/>
    </row>
    <row r="4" spans="2:2" ht="14.4" customHeight="1" x14ac:dyDescent="0.3">
      <c r="B4" s="150"/>
    </row>
    <row r="5" spans="2:2" ht="14.4" customHeight="1" x14ac:dyDescent="0.3">
      <c r="B5" s="119" t="s">
        <v>113</v>
      </c>
    </row>
    <row r="6" spans="2:2" x14ac:dyDescent="0.3">
      <c r="B6" s="118"/>
    </row>
    <row r="7" spans="2:2" ht="14.4" customHeight="1" x14ac:dyDescent="0.3">
      <c r="B7" s="135" t="s">
        <v>41</v>
      </c>
    </row>
    <row r="8" spans="2:2" x14ac:dyDescent="0.3">
      <c r="B8" s="151" t="s">
        <v>114</v>
      </c>
    </row>
    <row r="9" spans="2:2" x14ac:dyDescent="0.3">
      <c r="B9" s="151"/>
    </row>
    <row r="10" spans="2:2" x14ac:dyDescent="0.3">
      <c r="B10" s="136"/>
    </row>
    <row r="11" spans="2:2" ht="14.4" customHeight="1" x14ac:dyDescent="0.3">
      <c r="B11" s="151" t="s">
        <v>112</v>
      </c>
    </row>
    <row r="12" spans="2:2" x14ac:dyDescent="0.3">
      <c r="B12" s="151"/>
    </row>
    <row r="14" spans="2:2" x14ac:dyDescent="0.3">
      <c r="B14" s="130" t="s">
        <v>117</v>
      </c>
    </row>
    <row r="16" spans="2:2" ht="16.2" customHeight="1" x14ac:dyDescent="0.3">
      <c r="B16" s="131" t="s">
        <v>118</v>
      </c>
    </row>
    <row r="17" spans="2:6" x14ac:dyDescent="0.3">
      <c r="B17" s="129"/>
    </row>
    <row r="18" spans="2:6" x14ac:dyDescent="0.3">
      <c r="B18" s="132" t="s">
        <v>119</v>
      </c>
    </row>
    <row r="20" spans="2:6" x14ac:dyDescent="0.3">
      <c r="B20" s="133" t="s">
        <v>120</v>
      </c>
      <c r="F20" s="1"/>
    </row>
    <row r="21" spans="2:6" x14ac:dyDescent="0.3">
      <c r="B21" s="134"/>
      <c r="F21" s="1"/>
    </row>
    <row r="22" spans="2:6" x14ac:dyDescent="0.3">
      <c r="B22" s="116" t="s">
        <v>42</v>
      </c>
    </row>
    <row r="23" spans="2:6" x14ac:dyDescent="0.3">
      <c r="B23" s="117" t="s">
        <v>109</v>
      </c>
    </row>
    <row r="24" spans="2:6" x14ac:dyDescent="0.3">
      <c r="B24" s="116"/>
    </row>
    <row r="25" spans="2:6" x14ac:dyDescent="0.3">
      <c r="B25" s="116"/>
    </row>
    <row r="26" spans="2:6" x14ac:dyDescent="0.3">
      <c r="B26" s="116"/>
    </row>
  </sheetData>
  <sheetProtection algorithmName="SHA-512" hashValue="66pi9sdy5fTTBOpi7vr5rq0owfg9hd6BmM9fodgBtddf1pdJz9IfleonjsOlvICFgWTFXdC5DAyU32OiOdByQA==" saltValue="3m4CL2YLPM2mVJcqbCPPqw==" spinCount="100000" sheet="1" objects="1" scenarios="1"/>
  <mergeCells count="3">
    <mergeCell ref="B2:B4"/>
    <mergeCell ref="B8:B9"/>
    <mergeCell ref="B11:B12"/>
  </mergeCell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workbookViewId="0">
      <selection activeCell="I13" sqref="I13"/>
    </sheetView>
  </sheetViews>
  <sheetFormatPr defaultRowHeight="14.4" x14ac:dyDescent="0.3"/>
  <cols>
    <col min="1" max="1" width="42.21875" customWidth="1"/>
    <col min="2" max="2" width="18.109375" customWidth="1"/>
    <col min="4" max="4" width="9.33203125" bestFit="1" customWidth="1"/>
    <col min="5" max="5" width="17.88671875" hidden="1" customWidth="1"/>
  </cols>
  <sheetData>
    <row r="1" spans="1:5" ht="15" thickBot="1" x14ac:dyDescent="0.35">
      <c r="A1" s="99" t="s">
        <v>44</v>
      </c>
      <c r="B1" s="87" t="s">
        <v>103</v>
      </c>
      <c r="C1" s="87" t="s">
        <v>68</v>
      </c>
      <c r="D1" s="88" t="s">
        <v>72</v>
      </c>
      <c r="E1" s="102" t="s">
        <v>106</v>
      </c>
    </row>
    <row r="2" spans="1:5" x14ac:dyDescent="0.3">
      <c r="A2" s="78" t="s">
        <v>46</v>
      </c>
      <c r="B2" s="104">
        <v>18</v>
      </c>
      <c r="C2" s="79" t="s">
        <v>29</v>
      </c>
      <c r="D2" s="80" t="s">
        <v>73</v>
      </c>
      <c r="E2" s="103">
        <v>37</v>
      </c>
    </row>
    <row r="3" spans="1:5" x14ac:dyDescent="0.3">
      <c r="A3" s="81" t="s">
        <v>45</v>
      </c>
      <c r="B3" s="105">
        <v>5.6</v>
      </c>
      <c r="C3" s="56" t="s">
        <v>29</v>
      </c>
      <c r="D3" s="82" t="s">
        <v>74</v>
      </c>
      <c r="E3" s="103">
        <f>B6*0.6+B5</f>
        <v>3.6599999999999997</v>
      </c>
    </row>
    <row r="4" spans="1:5" x14ac:dyDescent="0.3">
      <c r="A4" s="81" t="s">
        <v>47</v>
      </c>
      <c r="B4" s="105">
        <v>12</v>
      </c>
      <c r="C4" s="56" t="s">
        <v>29</v>
      </c>
      <c r="D4" s="82" t="s">
        <v>75</v>
      </c>
      <c r="E4" s="102" t="s">
        <v>107</v>
      </c>
    </row>
    <row r="5" spans="1:5" x14ac:dyDescent="0.3">
      <c r="A5" s="81" t="s">
        <v>48</v>
      </c>
      <c r="B5" s="105">
        <v>3.3</v>
      </c>
      <c r="C5" s="56" t="s">
        <v>29</v>
      </c>
      <c r="D5" s="82" t="s">
        <v>76</v>
      </c>
      <c r="E5" s="102" t="s">
        <v>108</v>
      </c>
    </row>
    <row r="6" spans="1:5" x14ac:dyDescent="0.3">
      <c r="A6" s="81" t="s">
        <v>50</v>
      </c>
      <c r="B6" s="105">
        <v>0.6</v>
      </c>
      <c r="C6" s="56" t="s">
        <v>9</v>
      </c>
      <c r="D6" s="82" t="s">
        <v>78</v>
      </c>
      <c r="E6" s="103">
        <v>1.7</v>
      </c>
    </row>
    <row r="7" spans="1:5" x14ac:dyDescent="0.3">
      <c r="A7" s="81" t="s">
        <v>49</v>
      </c>
      <c r="B7" s="105">
        <v>0.2</v>
      </c>
      <c r="C7" s="56" t="s">
        <v>9</v>
      </c>
      <c r="D7" s="82" t="s">
        <v>77</v>
      </c>
      <c r="E7" s="103">
        <v>0</v>
      </c>
    </row>
    <row r="8" spans="1:5" x14ac:dyDescent="0.3">
      <c r="A8" s="81" t="s">
        <v>70</v>
      </c>
      <c r="B8" s="105">
        <v>1</v>
      </c>
      <c r="C8" s="56" t="s">
        <v>71</v>
      </c>
      <c r="D8" s="83" t="s">
        <v>92</v>
      </c>
      <c r="E8" s="103">
        <v>0.7</v>
      </c>
    </row>
    <row r="9" spans="1:5" ht="15" thickBot="1" x14ac:dyDescent="0.35">
      <c r="A9" s="84" t="s">
        <v>98</v>
      </c>
      <c r="B9" s="106">
        <v>30</v>
      </c>
      <c r="C9" s="85" t="s">
        <v>71</v>
      </c>
      <c r="D9" s="86" t="s">
        <v>99</v>
      </c>
      <c r="E9" s="103">
        <v>15</v>
      </c>
    </row>
    <row r="10" spans="1:5" ht="15" thickBot="1" x14ac:dyDescent="0.35">
      <c r="A10" s="89"/>
      <c r="B10" s="90"/>
      <c r="C10" s="89"/>
      <c r="D10" s="91"/>
      <c r="E10" s="103"/>
    </row>
    <row r="11" spans="1:5" x14ac:dyDescent="0.3">
      <c r="A11" s="100" t="s">
        <v>115</v>
      </c>
      <c r="B11" s="152"/>
      <c r="C11" s="153"/>
      <c r="D11" s="154"/>
      <c r="E11" s="103"/>
    </row>
    <row r="12" spans="1:5" x14ac:dyDescent="0.3">
      <c r="A12" s="81" t="s">
        <v>104</v>
      </c>
      <c r="B12" s="57">
        <v>18.399999999999999</v>
      </c>
      <c r="C12" s="56" t="s">
        <v>29</v>
      </c>
      <c r="D12" s="83" t="s">
        <v>105</v>
      </c>
      <c r="E12" s="103"/>
    </row>
    <row r="13" spans="1:5" x14ac:dyDescent="0.3">
      <c r="A13" s="81" t="s">
        <v>123</v>
      </c>
      <c r="B13" s="57">
        <v>2.5</v>
      </c>
      <c r="C13" s="56" t="s">
        <v>69</v>
      </c>
      <c r="D13" s="83" t="s">
        <v>122</v>
      </c>
      <c r="E13" s="103"/>
    </row>
    <row r="14" spans="1:5" x14ac:dyDescent="0.3">
      <c r="A14" s="81" t="s">
        <v>51</v>
      </c>
      <c r="B14" s="57">
        <f>IF(B4&lt;B12,B13,1)</f>
        <v>2.5</v>
      </c>
      <c r="C14" s="56" t="s">
        <v>69</v>
      </c>
      <c r="D14" s="82" t="s">
        <v>79</v>
      </c>
      <c r="E14" s="103"/>
    </row>
    <row r="15" spans="1:5" x14ac:dyDescent="0.3">
      <c r="A15" s="81" t="s">
        <v>52</v>
      </c>
      <c r="B15" s="56">
        <v>550</v>
      </c>
      <c r="C15" s="56" t="s">
        <v>96</v>
      </c>
      <c r="D15" s="82" t="s">
        <v>80</v>
      </c>
      <c r="E15" s="103"/>
    </row>
    <row r="16" spans="1:5" ht="15" thickBot="1" x14ac:dyDescent="0.35">
      <c r="A16" s="84" t="s">
        <v>53</v>
      </c>
      <c r="B16" s="85">
        <v>300</v>
      </c>
      <c r="C16" s="85" t="s">
        <v>96</v>
      </c>
      <c r="D16" s="92" t="s">
        <v>81</v>
      </c>
      <c r="E16" s="103"/>
    </row>
    <row r="17" spans="1:5" ht="15" thickBot="1" x14ac:dyDescent="0.35">
      <c r="A17" s="89"/>
      <c r="B17" s="89"/>
      <c r="C17" s="89"/>
      <c r="D17" s="89"/>
      <c r="E17" s="103"/>
    </row>
    <row r="18" spans="1:5" x14ac:dyDescent="0.3">
      <c r="A18" s="100" t="s">
        <v>54</v>
      </c>
      <c r="B18" s="140">
        <v>1</v>
      </c>
      <c r="C18" s="124" t="s">
        <v>97</v>
      </c>
      <c r="D18" s="125" t="s">
        <v>82</v>
      </c>
      <c r="E18" s="103"/>
    </row>
    <row r="19" spans="1:5" x14ac:dyDescent="0.3">
      <c r="A19" s="81" t="s">
        <v>55</v>
      </c>
      <c r="B19" s="120">
        <f>(B5+B6*(B27/1000)+(B15/1000)*B6+(B16/1000)*B6)/B4</f>
        <v>0.32300000000000001</v>
      </c>
      <c r="C19" s="56"/>
      <c r="D19" s="82" t="s">
        <v>30</v>
      </c>
      <c r="E19" s="103"/>
    </row>
    <row r="20" spans="1:5" x14ac:dyDescent="0.3">
      <c r="A20" s="81" t="s">
        <v>56</v>
      </c>
      <c r="B20" s="120">
        <f>B8*B4/100</f>
        <v>0.12</v>
      </c>
      <c r="C20" s="56" t="s">
        <v>29</v>
      </c>
      <c r="D20" s="82" t="s">
        <v>83</v>
      </c>
      <c r="E20" s="103"/>
    </row>
    <row r="21" spans="1:5" x14ac:dyDescent="0.3">
      <c r="A21" s="81" t="s">
        <v>61</v>
      </c>
      <c r="B21" s="120">
        <f>(1000000*B6*B19*(1-B19))/(B14*1000000*B20)</f>
        <v>0.43734200000000001</v>
      </c>
      <c r="C21" s="56" t="s">
        <v>97</v>
      </c>
      <c r="D21" s="82" t="s">
        <v>84</v>
      </c>
      <c r="E21" s="103"/>
    </row>
    <row r="22" spans="1:5" ht="15" thickBot="1" x14ac:dyDescent="0.35">
      <c r="A22" s="84" t="s">
        <v>57</v>
      </c>
      <c r="B22" s="128">
        <f>B6*SQRT(B19*(1-B19))</f>
        <v>0.28057362670072894</v>
      </c>
      <c r="C22" s="85" t="s">
        <v>9</v>
      </c>
      <c r="D22" s="92" t="s">
        <v>85</v>
      </c>
      <c r="E22" s="103"/>
    </row>
    <row r="23" spans="1:5" ht="15" thickBot="1" x14ac:dyDescent="0.35">
      <c r="A23" s="89"/>
      <c r="B23" s="89"/>
      <c r="C23" s="89"/>
      <c r="D23" s="89"/>
      <c r="E23" s="103"/>
    </row>
    <row r="24" spans="1:5" x14ac:dyDescent="0.3">
      <c r="A24" s="100" t="s">
        <v>58</v>
      </c>
      <c r="B24" s="140">
        <v>4.7</v>
      </c>
      <c r="C24" s="124" t="s">
        <v>100</v>
      </c>
      <c r="D24" s="125" t="s">
        <v>86</v>
      </c>
      <c r="E24" s="103"/>
    </row>
    <row r="25" spans="1:5" x14ac:dyDescent="0.3">
      <c r="A25" s="81" t="s">
        <v>59</v>
      </c>
      <c r="B25" s="56">
        <f>B5/B6</f>
        <v>5.5</v>
      </c>
      <c r="C25" s="56" t="s">
        <v>101</v>
      </c>
      <c r="D25" s="82" t="s">
        <v>87</v>
      </c>
      <c r="E25" s="103"/>
    </row>
    <row r="26" spans="1:5" x14ac:dyDescent="0.3">
      <c r="A26" s="81" t="s">
        <v>60</v>
      </c>
      <c r="B26" s="120">
        <f>1000000*(B5*(1-B19))/(B14*1000000*B6*(B9/100))</f>
        <v>4.964666666666667</v>
      </c>
      <c r="C26" s="56" t="s">
        <v>100</v>
      </c>
      <c r="D26" s="82" t="s">
        <v>88</v>
      </c>
      <c r="E26" s="103"/>
    </row>
    <row r="27" spans="1:5" ht="15" thickBot="1" x14ac:dyDescent="0.35">
      <c r="A27" s="84" t="s">
        <v>62</v>
      </c>
      <c r="B27" s="141">
        <v>110</v>
      </c>
      <c r="C27" s="85" t="s">
        <v>96</v>
      </c>
      <c r="D27" s="92" t="s">
        <v>89</v>
      </c>
      <c r="E27" s="103"/>
    </row>
    <row r="28" spans="1:5" ht="15" thickBot="1" x14ac:dyDescent="0.35">
      <c r="A28" s="89"/>
      <c r="B28" s="89"/>
      <c r="C28" s="89"/>
      <c r="D28" s="89"/>
      <c r="E28" s="103"/>
    </row>
    <row r="29" spans="1:5" x14ac:dyDescent="0.3">
      <c r="A29" s="101" t="s">
        <v>63</v>
      </c>
      <c r="B29" s="142">
        <v>4.7</v>
      </c>
      <c r="C29" s="126" t="s">
        <v>97</v>
      </c>
      <c r="D29" s="127" t="s">
        <v>90</v>
      </c>
      <c r="E29" s="103"/>
    </row>
    <row r="30" spans="1:5" x14ac:dyDescent="0.3">
      <c r="A30" s="94" t="s">
        <v>64</v>
      </c>
      <c r="B30" s="93">
        <f>B6-B7</f>
        <v>0.39999999999999997</v>
      </c>
      <c r="C30" s="93" t="s">
        <v>102</v>
      </c>
      <c r="D30" s="95" t="s">
        <v>91</v>
      </c>
      <c r="E30" s="103"/>
    </row>
    <row r="31" spans="1:5" x14ac:dyDescent="0.3">
      <c r="A31" s="94" t="s">
        <v>65</v>
      </c>
      <c r="B31" s="93">
        <f>B5*B8/100</f>
        <v>3.3000000000000002E-2</v>
      </c>
      <c r="C31" s="93" t="s">
        <v>29</v>
      </c>
      <c r="D31" s="95" t="s">
        <v>93</v>
      </c>
      <c r="E31" s="103"/>
    </row>
    <row r="32" spans="1:5" x14ac:dyDescent="0.3">
      <c r="A32" s="94" t="s">
        <v>66</v>
      </c>
      <c r="B32" s="93">
        <f>(1000000*B24*B30*B30)/(2*B14*1000000*B31)</f>
        <v>4.5575757575757567</v>
      </c>
      <c r="C32" s="93" t="s">
        <v>97</v>
      </c>
      <c r="D32" s="95" t="s">
        <v>94</v>
      </c>
      <c r="E32" s="103"/>
    </row>
    <row r="33" spans="1:5" ht="15" thickBot="1" x14ac:dyDescent="0.35">
      <c r="A33" s="96" t="s">
        <v>67</v>
      </c>
      <c r="B33" s="143">
        <v>40</v>
      </c>
      <c r="C33" s="97" t="s">
        <v>96</v>
      </c>
      <c r="D33" s="98" t="s">
        <v>95</v>
      </c>
      <c r="E33" s="103"/>
    </row>
  </sheetData>
  <sheetProtection algorithmName="SHA-512" hashValue="WLf6nT46EO0Jn0lqcc7exvKQAR8Xobx89kaCOiRVgNtT5X9lozfYSi+OL5rztBDqXMNPTyE6JROhqjX7xkBZzg==" saltValue="GdUdzJhK5b8d8PUxfboUvg==" spinCount="100000" sheet="1" objects="1" scenarios="1"/>
  <mergeCells count="1">
    <mergeCell ref="B11:D11"/>
  </mergeCells>
  <conditionalFormatting sqref="B2">
    <cfRule type="expression" dxfId="9" priority="10">
      <formula>$B$2&gt;$E$2</formula>
    </cfRule>
  </conditionalFormatting>
  <conditionalFormatting sqref="B3">
    <cfRule type="expression" dxfId="8" priority="9">
      <formula>$B$3&lt;$E$3</formula>
    </cfRule>
  </conditionalFormatting>
  <conditionalFormatting sqref="B4">
    <cfRule type="expression" dxfId="7" priority="6">
      <formula>OR($B$4&lt;$E$3, $B$4&gt;$E$2)</formula>
    </cfRule>
  </conditionalFormatting>
  <conditionalFormatting sqref="B5">
    <cfRule type="expression" dxfId="6" priority="5">
      <formula>NOT(OR($B$5=2.5,$B$5=3.3,$B$5=5))</formula>
    </cfRule>
  </conditionalFormatting>
  <conditionalFormatting sqref="B7">
    <cfRule type="expression" priority="4">
      <formula>OR($B$7&lt;0,$B$7&gt;$B$6)</formula>
    </cfRule>
  </conditionalFormatting>
  <conditionalFormatting sqref="B6">
    <cfRule type="expression" priority="3">
      <formula>$B$6&gt;$E$6</formula>
    </cfRule>
  </conditionalFormatting>
  <conditionalFormatting sqref="B8">
    <cfRule type="expression" dxfId="5" priority="2">
      <formula>OR($B$8&lt;0.7,$B$8&gt;10)</formula>
    </cfRule>
  </conditionalFormatting>
  <conditionalFormatting sqref="B13">
    <cfRule type="expression" dxfId="4" priority="1">
      <formula>"OR(AND($B$5=&lt;2.6,OR($B$13&lt;1.8, $B$13+$B$13&gt;2.2),AND($B$5&gt;2.6,OR($B$13&lt;1.8,$B$13&gt;2.6))"</formula>
    </cfRule>
  </conditionalFormatting>
  <pageMargins left="0.7" right="0.7" top="0.75" bottom="0.75" header="0.3" footer="0.3"/>
  <pageSetup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V53"/>
  <sheetViews>
    <sheetView zoomScaleNormal="100" workbookViewId="0">
      <pane ySplit="3" topLeftCell="A4" activePane="bottomLeft" state="frozen"/>
      <selection pane="bottomLeft" activeCell="L3" sqref="L3"/>
    </sheetView>
  </sheetViews>
  <sheetFormatPr defaultColWidth="9.109375" defaultRowHeight="14.4" x14ac:dyDescent="0.3"/>
  <cols>
    <col min="1" max="1" width="22.6640625" style="24" bestFit="1" customWidth="1"/>
    <col min="2" max="2" width="9.109375" style="26"/>
    <col min="3" max="3" width="4.109375" style="24" bestFit="1" customWidth="1"/>
    <col min="4" max="4" width="9.109375" style="24"/>
    <col min="5" max="5" width="14.33203125" style="24" customWidth="1"/>
    <col min="6" max="6" width="9" style="25" customWidth="1"/>
    <col min="7" max="7" width="3" style="24" bestFit="1" customWidth="1"/>
    <col min="8" max="8" width="9.109375" style="24"/>
    <col min="9" max="9" width="9.109375" style="24" customWidth="1"/>
    <col min="10" max="10" width="11.109375" style="24" customWidth="1"/>
    <col min="11" max="11" width="22.6640625" style="24" customWidth="1"/>
    <col min="12" max="12" width="16.5546875" style="24" customWidth="1"/>
    <col min="13" max="13" width="5.5546875" style="24" bestFit="1" customWidth="1"/>
    <col min="14" max="14" width="9.109375" style="24" customWidth="1"/>
    <col min="15" max="15" width="14.33203125" style="24" customWidth="1"/>
    <col min="16" max="16" width="9.109375" style="24" customWidth="1"/>
    <col min="17" max="17" width="3" style="24" bestFit="1" customWidth="1"/>
    <col min="18" max="16384" width="9.109375" style="24"/>
  </cols>
  <sheetData>
    <row r="1" spans="1:22" ht="15" thickBot="1" x14ac:dyDescent="0.35">
      <c r="A1" s="165" t="s">
        <v>40</v>
      </c>
      <c r="B1" s="165"/>
      <c r="C1" s="165"/>
      <c r="D1" s="165"/>
      <c r="E1" s="64"/>
      <c r="F1" s="65"/>
      <c r="G1" s="64"/>
      <c r="H1" s="64"/>
      <c r="I1" s="64"/>
      <c r="J1" s="64"/>
      <c r="K1" s="107" t="s">
        <v>39</v>
      </c>
      <c r="L1" s="144" t="s">
        <v>38</v>
      </c>
      <c r="M1" s="148"/>
      <c r="N1" s="108" t="s">
        <v>37</v>
      </c>
      <c r="O1" s="158" t="s">
        <v>36</v>
      </c>
      <c r="P1" s="159"/>
    </row>
    <row r="2" spans="1:22" ht="15" thickBot="1" x14ac:dyDescent="0.35">
      <c r="A2" s="64"/>
      <c r="B2" s="66"/>
      <c r="C2" s="64"/>
      <c r="D2" s="64"/>
      <c r="E2" s="67" t="s">
        <v>32</v>
      </c>
      <c r="F2" s="123">
        <f>F20+P21+F36</f>
        <v>0.43682197959183672</v>
      </c>
      <c r="G2" s="68" t="s">
        <v>5</v>
      </c>
      <c r="H2" s="168" t="s">
        <v>35</v>
      </c>
      <c r="I2" s="169"/>
      <c r="J2" s="170"/>
      <c r="K2" s="109" t="s">
        <v>34</v>
      </c>
      <c r="L2" s="149">
        <v>40</v>
      </c>
      <c r="M2" s="110" t="s">
        <v>33</v>
      </c>
      <c r="N2" s="111">
        <f>F2*L2</f>
        <v>17.47287918367347</v>
      </c>
      <c r="O2" s="160">
        <f>150-N2</f>
        <v>132.52712081632654</v>
      </c>
      <c r="P2" s="161"/>
      <c r="Q2" s="52"/>
      <c r="R2" s="37"/>
      <c r="S2" s="37"/>
    </row>
    <row r="3" spans="1:22" ht="15" thickBot="1" x14ac:dyDescent="0.35">
      <c r="A3" s="64"/>
      <c r="B3" s="66"/>
      <c r="C3" s="64"/>
      <c r="D3" s="64"/>
      <c r="E3" s="67"/>
      <c r="F3" s="74"/>
      <c r="G3" s="63"/>
      <c r="H3" s="171"/>
      <c r="I3" s="169"/>
      <c r="J3" s="170"/>
      <c r="K3" s="112"/>
      <c r="L3" s="113" t="s">
        <v>130</v>
      </c>
      <c r="M3" s="114"/>
      <c r="N3" s="115"/>
      <c r="O3" s="162"/>
      <c r="P3" s="163"/>
      <c r="Q3" s="51"/>
      <c r="R3" s="50"/>
      <c r="S3" s="50"/>
    </row>
    <row r="4" spans="1:22" x14ac:dyDescent="0.3">
      <c r="A4" s="64"/>
      <c r="B4" s="66"/>
      <c r="C4" s="64"/>
      <c r="D4" s="64"/>
      <c r="E4" s="64"/>
      <c r="F4" s="65"/>
      <c r="G4" s="64"/>
      <c r="H4" s="64"/>
      <c r="I4" s="64"/>
      <c r="J4" s="64"/>
    </row>
    <row r="5" spans="1:22" x14ac:dyDescent="0.3">
      <c r="A5" s="64"/>
      <c r="B5" s="66"/>
      <c r="C5" s="64"/>
      <c r="D5" s="64"/>
      <c r="E5" s="64"/>
      <c r="F5" s="65"/>
      <c r="G5" s="64"/>
      <c r="H5" s="64"/>
      <c r="I5" s="64"/>
      <c r="J5" s="64"/>
    </row>
    <row r="6" spans="1:22" x14ac:dyDescent="0.3">
      <c r="A6" s="64"/>
      <c r="B6" s="66"/>
      <c r="C6" s="64"/>
      <c r="D6" s="64"/>
      <c r="E6" s="64"/>
      <c r="F6" s="65"/>
      <c r="G6" s="64"/>
      <c r="H6" s="64"/>
      <c r="I6" s="64"/>
      <c r="J6" s="64"/>
    </row>
    <row r="7" spans="1:22" ht="15" thickBot="1" x14ac:dyDescent="0.35">
      <c r="A7" s="164" t="s">
        <v>31</v>
      </c>
      <c r="B7" s="164"/>
      <c r="C7" s="164"/>
      <c r="D7" s="164"/>
      <c r="E7" s="164"/>
      <c r="F7" s="164"/>
      <c r="G7" s="164"/>
      <c r="H7" s="54"/>
      <c r="I7" s="54"/>
      <c r="J7" s="63"/>
      <c r="K7" s="40"/>
      <c r="L7" s="40"/>
      <c r="M7" s="40"/>
      <c r="N7" s="40"/>
      <c r="O7" s="40"/>
      <c r="P7" s="40"/>
      <c r="Q7" s="40"/>
      <c r="R7" s="27"/>
      <c r="S7" s="27"/>
      <c r="T7" s="27"/>
      <c r="U7" s="27"/>
      <c r="V7" s="27"/>
    </row>
    <row r="8" spans="1:22" ht="15.6" thickBot="1" x14ac:dyDescent="0.4">
      <c r="A8" s="54" t="s">
        <v>75</v>
      </c>
      <c r="B8" s="137">
        <f>'Component Selection'!B4</f>
        <v>12</v>
      </c>
      <c r="C8" s="68" t="s">
        <v>29</v>
      </c>
      <c r="D8" s="54"/>
      <c r="E8" s="54" t="s">
        <v>30</v>
      </c>
      <c r="F8" s="61">
        <f>(B9+(B10*B13)+(F10*B10))/(B8-(B10*B12)+(B10*B13))</f>
        <v>0.3066326530612245</v>
      </c>
      <c r="G8" s="54"/>
      <c r="H8" s="54"/>
      <c r="I8" s="54"/>
      <c r="J8" s="63"/>
      <c r="K8" s="157" t="s">
        <v>124</v>
      </c>
      <c r="L8" s="157"/>
      <c r="M8" s="27"/>
      <c r="N8" s="27"/>
      <c r="O8" s="27"/>
      <c r="P8" s="28"/>
      <c r="Q8" s="27"/>
      <c r="R8" s="27"/>
      <c r="S8" s="27"/>
      <c r="T8" s="27"/>
      <c r="U8" s="27"/>
      <c r="V8" s="27"/>
    </row>
    <row r="9" spans="1:22" ht="15.6" thickBot="1" x14ac:dyDescent="0.4">
      <c r="A9" s="54" t="s">
        <v>76</v>
      </c>
      <c r="B9" s="137">
        <f>'Component Selection'!B5</f>
        <v>3.3</v>
      </c>
      <c r="C9" s="68" t="s">
        <v>29</v>
      </c>
      <c r="D9" s="54"/>
      <c r="E9" s="58" t="s">
        <v>28</v>
      </c>
      <c r="F9" s="62">
        <f>SQRT(B10^2+B11^2/12)</f>
        <v>0.60271635119681299</v>
      </c>
      <c r="G9" s="58" t="s">
        <v>9</v>
      </c>
      <c r="H9" s="54"/>
      <c r="I9" s="54"/>
      <c r="J9" s="63"/>
      <c r="K9" s="146" t="s">
        <v>125</v>
      </c>
      <c r="L9" s="147" t="s">
        <v>126</v>
      </c>
      <c r="M9" s="27"/>
      <c r="N9" s="27"/>
      <c r="O9" s="48"/>
      <c r="P9" s="49"/>
      <c r="Q9" s="48"/>
      <c r="R9" s="27"/>
      <c r="S9" s="27"/>
      <c r="T9" s="27"/>
      <c r="U9" s="27"/>
      <c r="V9" s="27"/>
    </row>
    <row r="10" spans="1:22" ht="15.6" customHeight="1" thickBot="1" x14ac:dyDescent="0.35">
      <c r="A10" s="54" t="s">
        <v>110</v>
      </c>
      <c r="B10" s="137">
        <f>'Component Selection'!B6</f>
        <v>0.6</v>
      </c>
      <c r="C10" s="68" t="s">
        <v>9</v>
      </c>
      <c r="D10" s="54"/>
      <c r="E10" s="54" t="s">
        <v>27</v>
      </c>
      <c r="F10" s="138">
        <f>'Component Selection'!B27/1000</f>
        <v>0.11</v>
      </c>
      <c r="G10" s="69" t="s">
        <v>22</v>
      </c>
      <c r="H10" s="54"/>
      <c r="I10" s="54"/>
      <c r="J10" s="63"/>
      <c r="K10" s="155" t="s">
        <v>128</v>
      </c>
      <c r="L10" s="156">
        <v>117.1</v>
      </c>
      <c r="M10" s="27"/>
      <c r="N10" s="27"/>
      <c r="O10" s="27"/>
      <c r="P10" s="28"/>
      <c r="Q10" s="39"/>
      <c r="R10" s="27"/>
      <c r="S10" s="27"/>
      <c r="T10" s="27"/>
      <c r="U10" s="27"/>
      <c r="V10" s="27"/>
    </row>
    <row r="11" spans="1:22" x14ac:dyDescent="0.3">
      <c r="A11" s="54" t="s">
        <v>26</v>
      </c>
      <c r="B11" s="61">
        <f>0.33*B10</f>
        <v>0.19800000000000001</v>
      </c>
      <c r="C11" s="54" t="s">
        <v>9</v>
      </c>
      <c r="D11" s="54"/>
      <c r="E11" s="54"/>
      <c r="F11" s="61"/>
      <c r="G11" s="54"/>
      <c r="H11" s="167"/>
      <c r="I11" s="167"/>
      <c r="J11" s="63"/>
      <c r="K11" s="155"/>
      <c r="L11" s="156"/>
      <c r="M11" s="27"/>
      <c r="N11" s="27"/>
      <c r="O11" s="27"/>
      <c r="P11" s="28"/>
      <c r="Q11" s="27"/>
      <c r="R11" s="33"/>
      <c r="S11" s="33"/>
      <c r="T11" s="27"/>
      <c r="U11" s="27"/>
      <c r="V11" s="27"/>
    </row>
    <row r="12" spans="1:22" x14ac:dyDescent="0.3">
      <c r="A12" s="58" t="s">
        <v>25</v>
      </c>
      <c r="B12" s="59">
        <v>0.8</v>
      </c>
      <c r="C12" s="60" t="s">
        <v>22</v>
      </c>
      <c r="D12" s="58"/>
      <c r="E12" s="54" t="s">
        <v>24</v>
      </c>
      <c r="F12" s="61">
        <f>(F8*F9^2*B12)+((1-F8)*F9^2*B13)</f>
        <v>0.18986260959183676</v>
      </c>
      <c r="G12" s="54" t="s">
        <v>5</v>
      </c>
      <c r="H12" s="172"/>
      <c r="I12" s="172"/>
      <c r="J12" s="63"/>
      <c r="K12" s="155"/>
      <c r="L12" s="156"/>
      <c r="M12" s="47"/>
      <c r="N12" s="27"/>
      <c r="O12" s="27"/>
      <c r="P12" s="28"/>
      <c r="Q12" s="27"/>
      <c r="R12" s="38"/>
      <c r="S12" s="38"/>
      <c r="T12" s="27"/>
      <c r="U12" s="27"/>
      <c r="V12" s="27"/>
    </row>
    <row r="13" spans="1:22" ht="15" customHeight="1" x14ac:dyDescent="0.3">
      <c r="A13" s="58" t="s">
        <v>23</v>
      </c>
      <c r="B13" s="59">
        <v>0.4</v>
      </c>
      <c r="C13" s="60" t="s">
        <v>22</v>
      </c>
      <c r="D13" s="58"/>
      <c r="E13" s="54"/>
      <c r="F13" s="61"/>
      <c r="G13" s="54"/>
      <c r="H13" s="54"/>
      <c r="I13" s="54"/>
      <c r="J13" s="63"/>
      <c r="K13" s="155" t="s">
        <v>127</v>
      </c>
      <c r="L13" s="156">
        <v>37.6</v>
      </c>
      <c r="M13" s="47"/>
      <c r="N13" s="27"/>
      <c r="O13" s="27"/>
      <c r="P13" s="28"/>
      <c r="Q13" s="27"/>
      <c r="R13" s="27"/>
      <c r="S13" s="27"/>
      <c r="T13" s="27"/>
      <c r="U13" s="27"/>
      <c r="V13" s="27"/>
    </row>
    <row r="14" spans="1:22" x14ac:dyDescent="0.3">
      <c r="A14" s="58" t="s">
        <v>21</v>
      </c>
      <c r="B14" s="59">
        <v>3</v>
      </c>
      <c r="C14" s="60" t="s">
        <v>17</v>
      </c>
      <c r="D14" s="58"/>
      <c r="E14" s="54" t="s">
        <v>20</v>
      </c>
      <c r="F14" s="61">
        <f>B8*B10*((B14+B15)*0.000000001)*(B16*1000)</f>
        <v>7.1999999999999995E-2</v>
      </c>
      <c r="G14" s="54" t="s">
        <v>5</v>
      </c>
      <c r="H14" s="167" t="s">
        <v>19</v>
      </c>
      <c r="I14" s="167"/>
      <c r="J14" s="63"/>
      <c r="K14" s="155"/>
      <c r="L14" s="156"/>
      <c r="M14" s="47"/>
      <c r="N14" s="27"/>
      <c r="O14" s="27"/>
      <c r="P14" s="28"/>
      <c r="Q14" s="27"/>
      <c r="R14" s="33"/>
      <c r="S14" s="33"/>
      <c r="T14" s="27"/>
      <c r="U14" s="27"/>
      <c r="V14" s="27"/>
    </row>
    <row r="15" spans="1:22" x14ac:dyDescent="0.3">
      <c r="A15" s="58" t="s">
        <v>18</v>
      </c>
      <c r="B15" s="59">
        <v>2</v>
      </c>
      <c r="C15" s="60" t="s">
        <v>17</v>
      </c>
      <c r="D15" s="58"/>
      <c r="E15" s="54"/>
      <c r="F15" s="61"/>
      <c r="G15" s="54"/>
      <c r="H15" s="166">
        <f>F9</f>
        <v>0.60271635119681299</v>
      </c>
      <c r="I15" s="166"/>
      <c r="J15" s="63"/>
      <c r="K15" s="155"/>
      <c r="L15" s="156"/>
      <c r="M15" s="47"/>
      <c r="N15" s="27"/>
      <c r="O15" s="45"/>
      <c r="P15" s="46"/>
      <c r="Q15" s="45"/>
      <c r="R15" s="32"/>
      <c r="S15" s="32"/>
      <c r="T15" s="27"/>
      <c r="U15" s="27"/>
      <c r="V15" s="27"/>
    </row>
    <row r="16" spans="1:22" x14ac:dyDescent="0.3">
      <c r="A16" s="54" t="s">
        <v>16</v>
      </c>
      <c r="B16" s="55">
        <f>IF(B8&lt;18.4,2000,1000)</f>
        <v>2000</v>
      </c>
      <c r="C16" s="54" t="s">
        <v>15</v>
      </c>
      <c r="D16" s="54"/>
      <c r="E16" s="54" t="s">
        <v>131</v>
      </c>
      <c r="F16" s="61">
        <f>F9*F9*'Component Selection'!B27/1000</f>
        <v>3.9959370000000001E-2</v>
      </c>
      <c r="G16" s="54" t="s">
        <v>5</v>
      </c>
      <c r="H16" s="54"/>
      <c r="I16" s="54"/>
      <c r="J16" s="63"/>
      <c r="K16" s="155"/>
      <c r="L16" s="156"/>
      <c r="M16" s="27"/>
      <c r="N16" s="27"/>
      <c r="O16" s="27"/>
      <c r="P16" s="28"/>
      <c r="Q16" s="27"/>
      <c r="R16" s="27"/>
      <c r="S16" s="27"/>
      <c r="T16" s="27"/>
      <c r="U16" s="27"/>
      <c r="V16" s="27"/>
    </row>
    <row r="17" spans="1:22" x14ac:dyDescent="0.3">
      <c r="A17" s="54" t="s">
        <v>14</v>
      </c>
      <c r="B17" s="55">
        <v>4.0000000000000001E-3</v>
      </c>
      <c r="C17" s="54" t="s">
        <v>9</v>
      </c>
      <c r="D17" s="54"/>
      <c r="E17" s="54" t="s">
        <v>13</v>
      </c>
      <c r="F17" s="61">
        <f>B8*B17</f>
        <v>4.8000000000000001E-2</v>
      </c>
      <c r="G17" s="54" t="s">
        <v>5</v>
      </c>
      <c r="H17" s="167" t="s">
        <v>12</v>
      </c>
      <c r="I17" s="167"/>
      <c r="J17" s="63"/>
      <c r="K17" s="155" t="s">
        <v>129</v>
      </c>
      <c r="L17" s="156">
        <v>34.200000000000003</v>
      </c>
      <c r="M17" s="27"/>
      <c r="N17" s="27"/>
      <c r="O17" s="27"/>
      <c r="P17" s="28"/>
      <c r="Q17" s="27"/>
      <c r="R17" s="33"/>
      <c r="S17" s="33"/>
      <c r="T17" s="27"/>
      <c r="U17" s="27"/>
      <c r="V17" s="27"/>
    </row>
    <row r="18" spans="1:22" x14ac:dyDescent="0.3">
      <c r="A18" s="54"/>
      <c r="B18" s="55"/>
      <c r="C18" s="54"/>
      <c r="D18" s="54"/>
      <c r="E18" s="54" t="s">
        <v>11</v>
      </c>
      <c r="F18" s="61">
        <f>F14+F12+F17</f>
        <v>0.30986260959183676</v>
      </c>
      <c r="G18" s="54" t="s">
        <v>5</v>
      </c>
      <c r="H18" s="166">
        <f>B10+B11/2</f>
        <v>0.69899999999999995</v>
      </c>
      <c r="I18" s="166"/>
      <c r="J18" s="63"/>
      <c r="K18" s="155"/>
      <c r="L18" s="156"/>
      <c r="M18" s="45"/>
      <c r="N18" s="44"/>
      <c r="O18" s="27"/>
      <c r="P18" s="28"/>
      <c r="Q18" s="27"/>
      <c r="R18" s="32"/>
      <c r="S18" s="32"/>
      <c r="T18" s="27"/>
      <c r="U18" s="27"/>
      <c r="V18" s="27"/>
    </row>
    <row r="19" spans="1:22" x14ac:dyDescent="0.3">
      <c r="A19" s="54" t="s">
        <v>10</v>
      </c>
      <c r="B19" s="55">
        <v>0.01</v>
      </c>
      <c r="C19" s="54" t="s">
        <v>9</v>
      </c>
      <c r="D19" s="54"/>
      <c r="E19" s="54" t="s">
        <v>8</v>
      </c>
      <c r="F19" s="61">
        <f>(B8-B9)*B19</f>
        <v>8.6999999999999994E-2</v>
      </c>
      <c r="G19" s="54" t="s">
        <v>5</v>
      </c>
      <c r="H19" s="54"/>
      <c r="I19" s="54"/>
      <c r="J19" s="63"/>
      <c r="K19" s="155"/>
      <c r="L19" s="156"/>
      <c r="M19" s="27"/>
      <c r="N19" s="27"/>
      <c r="O19" s="27"/>
      <c r="P19" s="28"/>
      <c r="Q19" s="27"/>
      <c r="R19" s="27"/>
      <c r="S19" s="27"/>
      <c r="T19" s="27"/>
      <c r="U19" s="27"/>
      <c r="V19" s="27"/>
    </row>
    <row r="20" spans="1:22" x14ac:dyDescent="0.3">
      <c r="A20" s="54"/>
      <c r="B20" s="55"/>
      <c r="C20" s="54"/>
      <c r="D20" s="54"/>
      <c r="E20" s="70" t="s">
        <v>7</v>
      </c>
      <c r="F20" s="71">
        <f>F19+F18+F16</f>
        <v>0.43682197959183672</v>
      </c>
      <c r="G20" s="70" t="s">
        <v>5</v>
      </c>
      <c r="H20" s="54"/>
      <c r="I20" s="54"/>
      <c r="J20" s="63"/>
      <c r="K20" s="155"/>
      <c r="L20" s="156"/>
      <c r="M20" s="27"/>
      <c r="N20" s="27"/>
      <c r="O20" s="27"/>
      <c r="P20" s="28"/>
      <c r="Q20" s="27"/>
      <c r="R20" s="27"/>
      <c r="S20" s="27"/>
      <c r="T20" s="27"/>
      <c r="U20" s="27"/>
      <c r="V20" s="27"/>
    </row>
    <row r="21" spans="1:22" x14ac:dyDescent="0.3">
      <c r="A21" s="64"/>
      <c r="B21" s="66"/>
      <c r="C21" s="54"/>
      <c r="D21" s="54"/>
      <c r="E21" s="54" t="s">
        <v>6</v>
      </c>
      <c r="F21" s="61">
        <f>(B9*B10)+F20</f>
        <v>2.4168219795918366</v>
      </c>
      <c r="G21" s="54" t="s">
        <v>5</v>
      </c>
      <c r="H21" s="54"/>
      <c r="I21" s="54"/>
      <c r="J21" s="63"/>
      <c r="K21" s="145"/>
      <c r="L21" s="145"/>
      <c r="M21" s="27"/>
      <c r="N21" s="27"/>
      <c r="O21" s="30"/>
      <c r="P21" s="31"/>
      <c r="Q21" s="30"/>
      <c r="R21" s="27"/>
      <c r="S21" s="27"/>
      <c r="T21" s="27"/>
      <c r="U21" s="27"/>
      <c r="V21" s="27"/>
    </row>
    <row r="22" spans="1:22" x14ac:dyDescent="0.3">
      <c r="A22" s="72"/>
      <c r="B22" s="72"/>
      <c r="C22" s="54"/>
      <c r="D22" s="54"/>
      <c r="E22" s="64"/>
      <c r="F22" s="65"/>
      <c r="G22" s="64"/>
      <c r="H22" s="54"/>
      <c r="I22" s="54"/>
      <c r="J22" s="63"/>
      <c r="K22" s="43"/>
      <c r="L22" s="43"/>
      <c r="M22" s="27"/>
      <c r="N22" s="27"/>
      <c r="O22" s="41"/>
      <c r="P22" s="42"/>
      <c r="Q22" s="41"/>
      <c r="R22" s="27"/>
      <c r="S22" s="27"/>
      <c r="T22" s="27"/>
      <c r="U22" s="27"/>
      <c r="V22" s="27"/>
    </row>
    <row r="23" spans="1:22" x14ac:dyDescent="0.3">
      <c r="A23" s="63"/>
      <c r="B23" s="73"/>
      <c r="C23" s="64"/>
      <c r="D23" s="64"/>
      <c r="E23" s="72"/>
      <c r="F23" s="72"/>
      <c r="G23" s="72"/>
      <c r="H23" s="54"/>
      <c r="I23" s="54"/>
      <c r="J23" s="63"/>
      <c r="K23" s="27"/>
      <c r="L23" s="29"/>
      <c r="M23" s="27"/>
      <c r="N23" s="27"/>
      <c r="O23" s="27"/>
      <c r="P23" s="28"/>
      <c r="Q23" s="27"/>
      <c r="R23" s="27"/>
      <c r="S23" s="27"/>
      <c r="T23" s="27"/>
      <c r="U23" s="27"/>
      <c r="V23" s="27"/>
    </row>
    <row r="24" spans="1:22" x14ac:dyDescent="0.3">
      <c r="A24" s="63"/>
      <c r="B24" s="73"/>
      <c r="C24" s="72"/>
      <c r="D24" s="72"/>
      <c r="E24" s="63"/>
      <c r="F24" s="74"/>
      <c r="G24" s="63"/>
      <c r="H24" s="64"/>
      <c r="I24" s="64"/>
      <c r="J24" s="63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</row>
    <row r="25" spans="1:22" x14ac:dyDescent="0.3">
      <c r="A25" s="63"/>
      <c r="B25" s="73"/>
      <c r="C25" s="63"/>
      <c r="D25" s="63"/>
      <c r="E25" s="63"/>
      <c r="F25" s="74"/>
      <c r="G25" s="63"/>
      <c r="H25" s="63"/>
      <c r="I25" s="63"/>
      <c r="J25" s="63"/>
    </row>
    <row r="26" spans="1:22" x14ac:dyDescent="0.3">
      <c r="A26" s="63"/>
      <c r="B26" s="74"/>
      <c r="C26" s="63"/>
      <c r="D26" s="63"/>
      <c r="E26" s="63"/>
      <c r="F26" s="74"/>
      <c r="G26" s="75"/>
      <c r="H26" s="63"/>
      <c r="I26" s="63"/>
      <c r="J26" s="63"/>
    </row>
    <row r="27" spans="1:22" x14ac:dyDescent="0.3">
      <c r="A27" s="63"/>
      <c r="B27" s="73"/>
      <c r="C27" s="63"/>
      <c r="D27" s="63"/>
      <c r="E27" s="63"/>
      <c r="F27" s="74"/>
      <c r="G27" s="63"/>
      <c r="H27" s="63"/>
      <c r="I27" s="63"/>
      <c r="J27" s="63"/>
    </row>
    <row r="28" spans="1:22" x14ac:dyDescent="0.3">
      <c r="A28" s="27"/>
      <c r="B28" s="29"/>
      <c r="C28" s="63"/>
      <c r="D28" s="63"/>
      <c r="E28" s="63"/>
      <c r="F28" s="74"/>
      <c r="G28" s="63"/>
      <c r="H28" s="76"/>
      <c r="I28" s="76"/>
      <c r="J28" s="63"/>
    </row>
    <row r="29" spans="1:22" x14ac:dyDescent="0.3">
      <c r="A29" s="36"/>
      <c r="B29" s="35"/>
      <c r="C29" s="75"/>
      <c r="D29" s="63"/>
      <c r="E29" s="27"/>
      <c r="F29" s="28"/>
      <c r="G29" s="27"/>
      <c r="H29" s="77"/>
      <c r="I29" s="77"/>
      <c r="J29" s="63"/>
    </row>
    <row r="30" spans="1:22" x14ac:dyDescent="0.3">
      <c r="A30" s="36"/>
      <c r="B30" s="35"/>
      <c r="C30" s="27"/>
      <c r="D30" s="27"/>
      <c r="E30" s="27"/>
      <c r="F30" s="28"/>
      <c r="G30" s="27"/>
      <c r="H30" s="63"/>
      <c r="I30" s="63"/>
      <c r="J30" s="63"/>
    </row>
    <row r="31" spans="1:22" x14ac:dyDescent="0.3">
      <c r="A31" s="27"/>
      <c r="B31" s="29"/>
      <c r="C31" s="34"/>
      <c r="D31" s="27"/>
      <c r="E31" s="27"/>
      <c r="F31" s="28"/>
      <c r="G31" s="27"/>
      <c r="H31" s="33"/>
      <c r="I31" s="33"/>
      <c r="J31" s="27"/>
      <c r="Q31" s="37"/>
      <c r="R31" s="37"/>
      <c r="S31" s="37"/>
    </row>
    <row r="32" spans="1:22" x14ac:dyDescent="0.3">
      <c r="A32" s="27"/>
      <c r="B32" s="29"/>
      <c r="C32" s="34"/>
      <c r="D32" s="27"/>
      <c r="E32" s="27"/>
      <c r="F32" s="28"/>
      <c r="G32" s="27"/>
      <c r="H32" s="32"/>
      <c r="I32" s="32"/>
      <c r="J32" s="27"/>
    </row>
    <row r="33" spans="1:10" x14ac:dyDescent="0.3">
      <c r="A33" s="27"/>
      <c r="B33" s="29"/>
      <c r="C33" s="27"/>
      <c r="D33" s="27"/>
      <c r="E33" s="27"/>
      <c r="F33" s="28"/>
      <c r="G33" s="27"/>
      <c r="H33" s="27"/>
      <c r="I33" s="27"/>
      <c r="J33" s="27"/>
    </row>
    <row r="34" spans="1:10" x14ac:dyDescent="0.3">
      <c r="A34" s="27"/>
      <c r="B34" s="29"/>
      <c r="C34" s="27"/>
      <c r="D34" s="27"/>
      <c r="E34" s="27"/>
      <c r="F34" s="28"/>
      <c r="G34" s="27"/>
      <c r="H34" s="33"/>
      <c r="I34" s="33"/>
      <c r="J34" s="27"/>
    </row>
    <row r="35" spans="1:10" x14ac:dyDescent="0.3">
      <c r="A35" s="27"/>
      <c r="B35" s="29"/>
      <c r="C35" s="27"/>
      <c r="D35" s="27"/>
      <c r="E35" s="27"/>
      <c r="F35" s="28"/>
      <c r="G35" s="27"/>
      <c r="H35" s="32"/>
      <c r="I35" s="32"/>
      <c r="J35" s="27"/>
    </row>
    <row r="36" spans="1:10" x14ac:dyDescent="0.3">
      <c r="A36" s="27"/>
      <c r="B36" s="29"/>
      <c r="C36" s="27"/>
      <c r="D36" s="27"/>
      <c r="E36" s="30"/>
      <c r="F36" s="31"/>
      <c r="G36" s="30"/>
      <c r="H36" s="27"/>
      <c r="I36" s="27"/>
      <c r="J36" s="27"/>
    </row>
    <row r="37" spans="1:10" x14ac:dyDescent="0.3">
      <c r="A37" s="27"/>
      <c r="B37" s="29"/>
      <c r="C37" s="27"/>
      <c r="D37" s="27"/>
      <c r="E37" s="27"/>
      <c r="F37" s="28"/>
      <c r="G37" s="27"/>
      <c r="H37" s="27"/>
      <c r="I37" s="27"/>
      <c r="J37" s="27"/>
    </row>
    <row r="38" spans="1:10" x14ac:dyDescent="0.3">
      <c r="A38" s="27"/>
      <c r="B38" s="29"/>
      <c r="C38" s="27"/>
      <c r="D38" s="27"/>
      <c r="E38" s="27"/>
      <c r="F38" s="28"/>
      <c r="G38" s="27"/>
      <c r="H38" s="27"/>
      <c r="I38" s="27"/>
      <c r="J38" s="27"/>
    </row>
    <row r="39" spans="1:10" x14ac:dyDescent="0.3">
      <c r="A39" s="27"/>
      <c r="B39" s="29"/>
      <c r="C39" s="27"/>
      <c r="D39" s="27"/>
      <c r="E39" s="27"/>
      <c r="F39" s="28"/>
      <c r="G39" s="27"/>
      <c r="H39" s="27"/>
      <c r="I39" s="27"/>
      <c r="J39" s="27"/>
    </row>
    <row r="40" spans="1:10" x14ac:dyDescent="0.3">
      <c r="A40" s="27"/>
      <c r="B40" s="29"/>
      <c r="C40" s="27"/>
      <c r="D40" s="27"/>
      <c r="E40" s="27"/>
      <c r="F40" s="28"/>
      <c r="G40" s="27"/>
      <c r="H40" s="27"/>
      <c r="I40" s="27"/>
      <c r="J40" s="27"/>
    </row>
    <row r="41" spans="1:10" x14ac:dyDescent="0.3">
      <c r="A41" s="27"/>
      <c r="B41" s="29"/>
      <c r="C41" s="27"/>
      <c r="D41" s="27"/>
      <c r="E41" s="27"/>
      <c r="F41" s="28"/>
      <c r="G41" s="27"/>
      <c r="H41" s="27"/>
      <c r="I41" s="27"/>
      <c r="J41" s="27"/>
    </row>
    <row r="42" spans="1:10" x14ac:dyDescent="0.3">
      <c r="A42" s="27"/>
      <c r="B42" s="29"/>
      <c r="C42" s="27"/>
      <c r="D42" s="27"/>
      <c r="E42" s="27"/>
      <c r="F42" s="28"/>
      <c r="G42" s="27"/>
      <c r="H42" s="27"/>
      <c r="I42" s="27"/>
      <c r="J42" s="27"/>
    </row>
    <row r="43" spans="1:10" x14ac:dyDescent="0.3">
      <c r="A43" s="27"/>
      <c r="B43" s="29"/>
      <c r="C43" s="27"/>
      <c r="D43" s="27"/>
      <c r="E43" s="27"/>
      <c r="F43" s="28"/>
      <c r="G43" s="27"/>
      <c r="H43" s="27"/>
      <c r="I43" s="27"/>
      <c r="J43" s="27"/>
    </row>
    <row r="44" spans="1:10" x14ac:dyDescent="0.3">
      <c r="A44" s="27"/>
      <c r="B44" s="29"/>
      <c r="C44" s="27"/>
      <c r="D44" s="27"/>
      <c r="E44" s="27"/>
      <c r="F44" s="28"/>
      <c r="G44" s="27"/>
      <c r="H44" s="27"/>
      <c r="I44" s="27"/>
      <c r="J44" s="27"/>
    </row>
    <row r="45" spans="1:10" x14ac:dyDescent="0.3">
      <c r="A45" s="27"/>
      <c r="B45" s="29"/>
      <c r="C45" s="27"/>
      <c r="D45" s="27"/>
      <c r="E45" s="27"/>
      <c r="F45" s="28"/>
      <c r="G45" s="27"/>
      <c r="H45" s="27"/>
      <c r="I45" s="27"/>
      <c r="J45" s="27"/>
    </row>
    <row r="46" spans="1:10" x14ac:dyDescent="0.3">
      <c r="A46" s="27"/>
      <c r="B46" s="29"/>
      <c r="C46" s="27"/>
      <c r="D46" s="27"/>
      <c r="E46" s="27"/>
      <c r="F46" s="28"/>
      <c r="G46" s="27"/>
      <c r="H46" s="27"/>
      <c r="I46" s="27"/>
      <c r="J46" s="27"/>
    </row>
    <row r="47" spans="1:10" x14ac:dyDescent="0.3">
      <c r="A47" s="27"/>
      <c r="B47" s="29"/>
      <c r="C47" s="27"/>
      <c r="D47" s="27"/>
      <c r="E47" s="27"/>
      <c r="F47" s="28"/>
      <c r="G47" s="27"/>
      <c r="H47" s="27"/>
      <c r="I47" s="27"/>
      <c r="J47" s="27"/>
    </row>
    <row r="48" spans="1:10" x14ac:dyDescent="0.3">
      <c r="A48" s="27"/>
      <c r="B48" s="29"/>
      <c r="C48" s="27"/>
      <c r="D48" s="27"/>
      <c r="E48" s="27"/>
      <c r="F48" s="28"/>
      <c r="G48" s="27"/>
      <c r="H48" s="27"/>
      <c r="I48" s="27"/>
      <c r="J48" s="27"/>
    </row>
    <row r="49" spans="1:10" x14ac:dyDescent="0.3">
      <c r="A49" s="27"/>
      <c r="B49" s="29"/>
      <c r="C49" s="27"/>
      <c r="D49" s="27"/>
      <c r="E49" s="27"/>
      <c r="F49" s="28"/>
      <c r="G49" s="27"/>
      <c r="H49" s="27"/>
      <c r="I49" s="27"/>
      <c r="J49" s="27"/>
    </row>
    <row r="50" spans="1:10" x14ac:dyDescent="0.3">
      <c r="A50" s="27"/>
      <c r="B50" s="29"/>
      <c r="C50" s="27"/>
      <c r="D50" s="27"/>
      <c r="E50" s="27"/>
      <c r="F50" s="28"/>
      <c r="G50" s="27"/>
      <c r="H50" s="27"/>
      <c r="I50" s="27"/>
      <c r="J50" s="27"/>
    </row>
    <row r="51" spans="1:10" x14ac:dyDescent="0.3">
      <c r="C51" s="27"/>
      <c r="D51" s="27"/>
      <c r="E51" s="27"/>
      <c r="F51" s="28"/>
      <c r="G51" s="27"/>
      <c r="H51" s="27"/>
      <c r="I51" s="27"/>
      <c r="J51" s="27"/>
    </row>
    <row r="52" spans="1:10" x14ac:dyDescent="0.3">
      <c r="C52" s="27"/>
      <c r="D52" s="27"/>
      <c r="H52" s="27"/>
      <c r="I52" s="27"/>
      <c r="J52" s="27"/>
    </row>
    <row r="53" spans="1:10" x14ac:dyDescent="0.3">
      <c r="H53" s="27"/>
      <c r="I53" s="27"/>
      <c r="J53" s="27"/>
    </row>
  </sheetData>
  <sheetProtection algorithmName="SHA-512" hashValue="UeRfIZ4TEqnfylNq/FP8gSXRsIe4mf/xotzkPptW2AgjV2R4UHXYB+o5VYUaFay7SHWvKt1KT+n4Rusz8F0jkg==" saltValue="N0Abt+vJXuKps/kLuu7WQQ==" spinCount="100000" sheet="1" objects="1" scenarios="1"/>
  <mergeCells count="20">
    <mergeCell ref="H15:I15"/>
    <mergeCell ref="H17:I17"/>
    <mergeCell ref="H18:I18"/>
    <mergeCell ref="H14:I14"/>
    <mergeCell ref="H2:J2"/>
    <mergeCell ref="H3:J3"/>
    <mergeCell ref="H11:I11"/>
    <mergeCell ref="H12:I12"/>
    <mergeCell ref="O1:P1"/>
    <mergeCell ref="O2:P2"/>
    <mergeCell ref="O3:P3"/>
    <mergeCell ref="A7:G7"/>
    <mergeCell ref="A1:D1"/>
    <mergeCell ref="K17:K20"/>
    <mergeCell ref="L17:L20"/>
    <mergeCell ref="K8:L8"/>
    <mergeCell ref="K10:K12"/>
    <mergeCell ref="L10:L12"/>
    <mergeCell ref="K13:K16"/>
    <mergeCell ref="L13:L16"/>
  </mergeCells>
  <conditionalFormatting sqref="B8">
    <cfRule type="expression" dxfId="3" priority="3">
      <formula>OR($B$8&lt;3.5, $B$8&gt;18)</formula>
    </cfRule>
  </conditionalFormatting>
  <conditionalFormatting sqref="B9">
    <cfRule type="expression" dxfId="2" priority="2">
      <formula>NOT(OR($B$9=2.5,$B$9=3.3,$B$9=5))</formula>
    </cfRule>
  </conditionalFormatting>
  <conditionalFormatting sqref="B10">
    <cfRule type="expression" dxfId="1" priority="1">
      <formula>OR($B$10&lt;0,$B$10&gt;0.6)</formula>
    </cfRule>
  </conditionalFormatting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0"/>
  <sheetViews>
    <sheetView zoomScale="85" zoomScaleNormal="85" workbookViewId="0">
      <selection sqref="A1:N85"/>
    </sheetView>
  </sheetViews>
  <sheetFormatPr defaultRowHeight="14.4" x14ac:dyDescent="0.3"/>
  <cols>
    <col min="3" max="3" width="8.109375" customWidth="1"/>
    <col min="4" max="4" width="18.33203125" bestFit="1" customWidth="1"/>
    <col min="5" max="5" width="18.88671875" customWidth="1"/>
    <col min="6" max="6" width="14.88671875" bestFit="1" customWidth="1"/>
  </cols>
  <sheetData>
    <row r="1" spans="1:8" ht="15" thickBot="1" x14ac:dyDescent="0.35">
      <c r="B1" s="173" t="s">
        <v>121</v>
      </c>
      <c r="C1" s="174"/>
      <c r="D1" s="174"/>
      <c r="E1" s="174"/>
      <c r="F1" s="175"/>
    </row>
    <row r="2" spans="1:8" x14ac:dyDescent="0.3">
      <c r="B2" s="1"/>
      <c r="C2" s="1"/>
      <c r="D2" s="1"/>
      <c r="E2" s="1"/>
      <c r="F2" s="1"/>
    </row>
    <row r="3" spans="1:8" x14ac:dyDescent="0.3">
      <c r="A3" s="2" t="s">
        <v>3</v>
      </c>
      <c r="B3" s="1"/>
      <c r="C3" s="1"/>
      <c r="D3" s="1"/>
      <c r="E3" s="1"/>
    </row>
    <row r="4" spans="1:8" ht="15" thickBot="1" x14ac:dyDescent="0.35"/>
    <row r="5" spans="1:8" ht="15" thickBot="1" x14ac:dyDescent="0.35">
      <c r="B5" s="121" t="s">
        <v>111</v>
      </c>
      <c r="C5" s="139">
        <f>'Component Selection'!B5</f>
        <v>3.3</v>
      </c>
      <c r="D5" s="122" t="s">
        <v>29</v>
      </c>
      <c r="E5" s="176" t="s">
        <v>116</v>
      </c>
      <c r="F5" s="177"/>
      <c r="G5" s="177"/>
      <c r="H5" s="177"/>
    </row>
    <row r="6" spans="1:8" ht="15" thickBot="1" x14ac:dyDescent="0.35"/>
    <row r="7" spans="1:8" ht="15" thickBot="1" x14ac:dyDescent="0.35">
      <c r="C7" s="3" t="s">
        <v>0</v>
      </c>
      <c r="D7" s="10" t="s">
        <v>1</v>
      </c>
      <c r="E7" s="3" t="s">
        <v>2</v>
      </c>
      <c r="F7" s="14" t="s">
        <v>4</v>
      </c>
    </row>
    <row r="8" spans="1:8" x14ac:dyDescent="0.3">
      <c r="C8" s="7">
        <v>0.1</v>
      </c>
      <c r="D8" s="11">
        <f>1*$C8+$C$5</f>
        <v>3.4</v>
      </c>
      <c r="E8" s="18">
        <f>0.6*$C8+$C$5</f>
        <v>3.36</v>
      </c>
      <c r="F8" s="15">
        <f>0.75*$C8+$C$5</f>
        <v>3.375</v>
      </c>
    </row>
    <row r="9" spans="1:8" x14ac:dyDescent="0.3">
      <c r="C9" s="8">
        <v>0.2</v>
      </c>
      <c r="D9" s="12">
        <f t="shared" ref="D9:D17" si="0">1*$C9+$C$5</f>
        <v>3.5</v>
      </c>
      <c r="E9" s="19">
        <f t="shared" ref="E9:E17" si="1">0.6*$C9+$C$5</f>
        <v>3.42</v>
      </c>
      <c r="F9" s="16">
        <f t="shared" ref="F9:F17" si="2">0.75*$C9+$C$5</f>
        <v>3.4499999999999997</v>
      </c>
    </row>
    <row r="10" spans="1:8" x14ac:dyDescent="0.3">
      <c r="C10" s="8">
        <v>0.3</v>
      </c>
      <c r="D10" s="12">
        <f t="shared" si="0"/>
        <v>3.5999999999999996</v>
      </c>
      <c r="E10" s="19">
        <f t="shared" si="1"/>
        <v>3.48</v>
      </c>
      <c r="F10" s="16">
        <f t="shared" si="2"/>
        <v>3.5249999999999999</v>
      </c>
    </row>
    <row r="11" spans="1:8" x14ac:dyDescent="0.3">
      <c r="C11" s="8">
        <v>0.4</v>
      </c>
      <c r="D11" s="12">
        <f t="shared" si="0"/>
        <v>3.6999999999999997</v>
      </c>
      <c r="E11" s="19">
        <f t="shared" si="1"/>
        <v>3.54</v>
      </c>
      <c r="F11" s="16">
        <f t="shared" si="2"/>
        <v>3.5999999999999996</v>
      </c>
    </row>
    <row r="12" spans="1:8" x14ac:dyDescent="0.3">
      <c r="C12" s="8">
        <v>0.5</v>
      </c>
      <c r="D12" s="12">
        <f>1*$C12+$C$5</f>
        <v>3.8</v>
      </c>
      <c r="E12" s="19">
        <f t="shared" si="1"/>
        <v>3.5999999999999996</v>
      </c>
      <c r="F12" s="16">
        <f t="shared" si="2"/>
        <v>3.6749999999999998</v>
      </c>
    </row>
    <row r="13" spans="1:8" ht="15" thickBot="1" x14ac:dyDescent="0.35">
      <c r="C13" s="20">
        <v>0.6</v>
      </c>
      <c r="D13" s="21">
        <f t="shared" si="0"/>
        <v>3.9</v>
      </c>
      <c r="E13" s="22">
        <f t="shared" si="1"/>
        <v>3.6599999999999997</v>
      </c>
      <c r="F13" s="23">
        <f t="shared" si="2"/>
        <v>3.75</v>
      </c>
    </row>
    <row r="14" spans="1:8" x14ac:dyDescent="0.3">
      <c r="C14" s="9">
        <v>0.7</v>
      </c>
      <c r="D14" s="13">
        <f t="shared" si="0"/>
        <v>4</v>
      </c>
      <c r="E14" s="6">
        <f t="shared" si="1"/>
        <v>3.7199999999999998</v>
      </c>
      <c r="F14" s="17">
        <f t="shared" si="2"/>
        <v>3.8249999999999997</v>
      </c>
    </row>
    <row r="15" spans="1:8" x14ac:dyDescent="0.3">
      <c r="C15" s="8">
        <v>0.8</v>
      </c>
      <c r="D15" s="12">
        <f t="shared" si="0"/>
        <v>4.0999999999999996</v>
      </c>
      <c r="E15" s="19">
        <f t="shared" si="1"/>
        <v>3.78</v>
      </c>
      <c r="F15" s="16">
        <f t="shared" si="2"/>
        <v>3.9</v>
      </c>
    </row>
    <row r="16" spans="1:8" x14ac:dyDescent="0.3">
      <c r="C16" s="8">
        <v>0.9</v>
      </c>
      <c r="D16" s="12">
        <f t="shared" si="0"/>
        <v>4.2</v>
      </c>
      <c r="E16" s="19">
        <f t="shared" si="1"/>
        <v>3.84</v>
      </c>
      <c r="F16" s="16">
        <f t="shared" si="2"/>
        <v>3.9749999999999996</v>
      </c>
    </row>
    <row r="17" spans="3:6" ht="15" thickBot="1" x14ac:dyDescent="0.35">
      <c r="C17" s="20">
        <v>1</v>
      </c>
      <c r="D17" s="21">
        <f t="shared" si="0"/>
        <v>4.3</v>
      </c>
      <c r="E17" s="22">
        <f t="shared" si="1"/>
        <v>3.9</v>
      </c>
      <c r="F17" s="23">
        <f t="shared" si="2"/>
        <v>4.05</v>
      </c>
    </row>
    <row r="18" spans="3:6" x14ac:dyDescent="0.3">
      <c r="C18" s="4"/>
      <c r="D18" s="5"/>
      <c r="E18" s="5"/>
    </row>
    <row r="19" spans="3:6" x14ac:dyDescent="0.3">
      <c r="C19" s="4"/>
      <c r="D19" s="5"/>
      <c r="E19" s="5"/>
    </row>
    <row r="20" spans="3:6" x14ac:dyDescent="0.3">
      <c r="C20" s="4"/>
      <c r="D20" s="5"/>
      <c r="E20" s="5"/>
    </row>
  </sheetData>
  <sheetProtection algorithmName="SHA-512" hashValue="5jh1roqlfPRby2Ej+z2Uf0yEjuRZy8f99hcdyoYJjWxzIicN2moPz8NaKAz9R8Yzek/zzgeyFe5sg4NNJ05ByQ==" saltValue="1cbqR7vw/bo5hNlcr0FZ2Q==" spinCount="100000" sheet="1" objects="1" scenarios="1"/>
  <mergeCells count="2">
    <mergeCell ref="B1:F1"/>
    <mergeCell ref="E5:H5"/>
  </mergeCells>
  <conditionalFormatting sqref="C5">
    <cfRule type="expression" dxfId="0" priority="1">
      <formula>NOT(OR($C$5=2.5,$C$5=3.3,$C$5=5))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Intro</vt:lpstr>
      <vt:lpstr>Component Selection</vt:lpstr>
      <vt:lpstr>Thermal Calculator</vt:lpstr>
      <vt:lpstr>Minimum Vin</vt:lpstr>
    </vt:vector>
  </TitlesOfParts>
  <Company>ON Semiconductor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ON Semiconductor</dc:creator>
  <cp:lastModifiedBy>Jennifer Legaspi</cp:lastModifiedBy>
  <cp:lastPrinted>2016-07-27T18:24:35Z</cp:lastPrinted>
  <dcterms:created xsi:type="dcterms:W3CDTF">2013-06-05T14:21:33Z</dcterms:created>
  <dcterms:modified xsi:type="dcterms:W3CDTF">2017-03-08T19:42:56Z</dcterms:modified>
</cp:coreProperties>
</file>