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70" activeTab="0"/>
  </bookViews>
  <sheets>
    <sheet name="Flyback_QRC" sheetId="1" r:id="rId1"/>
    <sheet name="Schematic and BOM list" sheetId="2" r:id="rId2"/>
    <sheet name="FPS Line-up" sheetId="3" r:id="rId3"/>
    <sheet name="Core data" sheetId="4" r:id="rId4"/>
  </sheets>
  <definedNames>
    <definedName name="Ae">'Flyback_QRC'!$C$51</definedName>
    <definedName name="AL">'Flyback_QRC'!$C$66</definedName>
    <definedName name="Bmax">'Flyback_QRC'!#REF!</definedName>
    <definedName name="Bsat">'Flyback_QRC'!$C$50</definedName>
    <definedName name="CB">'Flyback_QRC'!#REF!*10^-9</definedName>
    <definedName name="Cdc">'Flyback_QRC'!$C$23/1000000</definedName>
    <definedName name="CF">'Flyback_QRC'!#REF!*10^-9</definedName>
    <definedName name="Co_1">'Flyback_QRC'!$C$99</definedName>
    <definedName name="Co_2">'Flyback_QRC'!$C$100</definedName>
    <definedName name="Co_3">'Flyback_QRC'!$C$101</definedName>
    <definedName name="Co_4">'Flyback_QRC'!$C$102</definedName>
    <definedName name="Co_5">'Flyback_QRC'!$C$103</definedName>
    <definedName name="Co_6">'Flyback_QRC'!$C$104</definedName>
    <definedName name="Dmax">'Flyback_QRC'!$C$30</definedName>
    <definedName name="Eff">'Flyback_QRC'!$C$19/100</definedName>
    <definedName name="ffi">'Flyback_QRC'!$C$196</definedName>
    <definedName name="ffp">'Flyback_QRC'!$C$198</definedName>
    <definedName name="ffz">'Flyback_QRC'!$C$197</definedName>
    <definedName name="fi">'Flyback_QRC'!$G$132</definedName>
    <definedName name="fL">'Flyback_QRC'!$C$9</definedName>
    <definedName name="fp">'Flyback_QRC'!$G$134</definedName>
    <definedName name="fp_1">'Flyback_QRC'!$G$122</definedName>
    <definedName name="fs">'Flyback_QRC'!$C$35*1000</definedName>
    <definedName name="fz">'Flyback_QRC'!$G$133</definedName>
    <definedName name="fz_1">'Flyback_QRC'!$G$120</definedName>
    <definedName name="fzr">'Flyback_QRC'!$G$121</definedName>
    <definedName name="Ilim">'Flyback_QRC'!$C$45</definedName>
    <definedName name="Io_1">'Flyback_QRC'!$E$12</definedName>
    <definedName name="Io_2">'Flyback_QRC'!$E$13</definedName>
    <definedName name="Io_3">'Flyback_QRC'!$E$14</definedName>
    <definedName name="Io_4">'Flyback_QRC'!$E$15</definedName>
    <definedName name="Io_5">'Flyback_QRC'!$E$16</definedName>
    <definedName name="Io_6">'Flyback_QRC'!$E$17</definedName>
    <definedName name="Io1rms">'Flyback_QRC'!$G$74</definedName>
    <definedName name="Io2rms">'Flyback_QRC'!$G$75</definedName>
    <definedName name="Io3rms">'Flyback_QRC'!$G$76</definedName>
    <definedName name="Io4rms">'Flyback_QRC'!$G$77</definedName>
    <definedName name="Io5rms">'Flyback_QRC'!$G$78</definedName>
    <definedName name="Io6rms">'Flyback_QRC'!$G$79</definedName>
    <definedName name="Ipk">'Flyback_QRC'!$C$38</definedName>
    <definedName name="Irms">'Flyback_QRC'!$C$39</definedName>
    <definedName name="k">'Flyback_QRC'!$B$1</definedName>
    <definedName name="k_1">'Flyback_QRC'!$C$119</definedName>
    <definedName name="KL1">'Flyback_QRC'!$I$12/100</definedName>
    <definedName name="KL2">'Flyback_QRC'!$I$13/100</definedName>
    <definedName name="KL3">'Flyback_QRC'!$I$14/100</definedName>
    <definedName name="KL4">'Flyback_QRC'!$I$15/100</definedName>
    <definedName name="KL5">'Flyback_QRC'!$I$16/100</definedName>
    <definedName name="KL6">'Flyback_QRC'!$I$17/100</definedName>
    <definedName name="KRF">'Flyback_QRC'!$C$36</definedName>
    <definedName name="Llk">'Flyback_QRC'!$C$107</definedName>
    <definedName name="Lm">'Flyback_QRC'!$C$37/1000000</definedName>
    <definedName name="m">'Flyback_QRC'!$B$2</definedName>
    <definedName name="Nc">'Flyback_QRC'!$I$57</definedName>
    <definedName name="Np">'Flyback_QRC'!$I$64</definedName>
    <definedName name="Ns1">'Flyback_QRC'!$I$58</definedName>
    <definedName name="Ns2">'Flyback_QRC'!$I$59</definedName>
    <definedName name="Ns3">'Flyback_QRC'!$I$60</definedName>
    <definedName name="Ns4">'Flyback_QRC'!$I$61</definedName>
    <definedName name="Ns5">'Flyback_QRC'!$I$62</definedName>
    <definedName name="Ns6">'Flyback_QRC'!$I$63</definedName>
    <definedName name="Pin">'Flyback_QRC'!$C$20</definedName>
    <definedName name="Po">'Flyback_QRC'!$C$18</definedName>
    <definedName name="_xlnm.Print_Area" localSheetId="2">'FPS Line-up'!$A$1:$R$86</definedName>
    <definedName name="R_1">'Flyback_QRC'!$C$124</definedName>
    <definedName name="Rc_1">'Flyback_QRC'!$E$99</definedName>
    <definedName name="Rc_2">'Flyback_QRC'!$E$100</definedName>
    <definedName name="Rc_3">'Flyback_QRC'!$E$101</definedName>
    <definedName name="Rc_4">'Flyback_QRC'!$E$102</definedName>
    <definedName name="Rc_5">'Flyback_QRC'!$E$103</definedName>
    <definedName name="Rc_6">'Flyback_QRC'!$E$104</definedName>
    <definedName name="RD">'Flyback_QRC'!#REF!*1000</definedName>
    <definedName name="Rsn">'Flyback_QRC'!$C$110*1000</definedName>
    <definedName name="u">'Flyback_QRC'!$B$3</definedName>
    <definedName name="V_line_max">'Flyback_QRC'!$C$8</definedName>
    <definedName name="V_line_min">'Flyback_QRC'!$C$7</definedName>
    <definedName name="Vcc">'Flyback_QRC'!$C$57</definedName>
    <definedName name="Vdc_ccm">'Flyback_QRC'!#REF!</definedName>
    <definedName name="Vdc_max">'Flyback_QRC'!$C$25</definedName>
    <definedName name="Vdc_min">'Flyback_QRC'!$C$24</definedName>
    <definedName name="VF1">'Flyback_QRC'!$E$58</definedName>
    <definedName name="VF2">'Flyback_QRC'!$E$59</definedName>
    <definedName name="VF3">'Flyback_QRC'!$E$60</definedName>
    <definedName name="VF4">'Flyback_QRC'!$E$61</definedName>
    <definedName name="VF5">'Flyback_QRC'!$E$62</definedName>
    <definedName name="VF6">'Flyback_QRC'!$E$63</definedName>
    <definedName name="VFC">'Flyback_QRC'!$E$57</definedName>
    <definedName name="Vo1">'Flyback_QRC'!$C$12</definedName>
    <definedName name="Vo2">'Flyback_QRC'!$C$13</definedName>
    <definedName name="Vo3">'Flyback_QRC'!$C$14</definedName>
    <definedName name="Vo4">'Flyback_QRC'!$C$15</definedName>
    <definedName name="Vo5">'Flyback_QRC'!$C$16</definedName>
    <definedName name="Vo6">'Flyback_QRC'!$C$17</definedName>
    <definedName name="VRO">'Flyback_QRC'!$C$28</definedName>
    <definedName name="Vsn">'Flyback_QRC'!$C$108</definedName>
  </definedNames>
  <calcPr fullCalcOnLoad="1"/>
</workbook>
</file>

<file path=xl/comments1.xml><?xml version="1.0" encoding="utf-8"?>
<comments xmlns="http://schemas.openxmlformats.org/spreadsheetml/2006/main">
  <authors>
    <author>hangseok</author>
    <author>info</author>
  </authors>
  <commentList>
    <comment ref="C23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30" authorId="0">
      <text>
        <r>
          <rPr>
            <b/>
            <sz val="9"/>
            <rFont val="굴림"/>
            <family val="3"/>
          </rPr>
          <t>For CCM, use the value above.
For DCM, Dmax should be smaller that the above value</t>
        </r>
      </text>
    </comment>
    <comment ref="C167" authorId="1">
      <text>
        <r>
          <rPr>
            <b/>
            <sz val="9"/>
            <rFont val="굴림"/>
            <family val="3"/>
          </rPr>
          <t>See right figure to find out what is resonant period.</t>
        </r>
      </text>
    </comment>
  </commentList>
</comments>
</file>

<file path=xl/sharedStrings.xml><?xml version="1.0" encoding="utf-8"?>
<sst xmlns="http://schemas.openxmlformats.org/spreadsheetml/2006/main" count="1318" uniqueCount="597">
  <si>
    <t>is the input parameters</t>
  </si>
  <si>
    <t>Blue cell</t>
  </si>
  <si>
    <t>V</t>
  </si>
  <si>
    <t>Hz</t>
  </si>
  <si>
    <t>W</t>
  </si>
  <si>
    <t>%</t>
  </si>
  <si>
    <t>uH</t>
  </si>
  <si>
    <t>is the output parameters</t>
  </si>
  <si>
    <t>uF</t>
  </si>
  <si>
    <t>A</t>
  </si>
  <si>
    <t>A</t>
  </si>
  <si>
    <t>A</t>
  </si>
  <si>
    <t>W</t>
  </si>
  <si>
    <t>W</t>
  </si>
  <si>
    <t>W</t>
  </si>
  <si>
    <t>%</t>
  </si>
  <si>
    <t>%</t>
  </si>
  <si>
    <t>%</t>
  </si>
  <si>
    <t xml:space="preserve">3. Determine Maximum duty ratio (Dmax) </t>
  </si>
  <si>
    <r>
      <t>mm</t>
    </r>
    <r>
      <rPr>
        <vertAlign val="superscript"/>
        <sz val="11"/>
        <color indexed="12"/>
        <rFont val="돋움"/>
        <family val="3"/>
      </rPr>
      <t>2</t>
    </r>
  </si>
  <si>
    <t>T</t>
  </si>
  <si>
    <t>V</t>
  </si>
  <si>
    <t>VF : Forward voltage drop of rectifier diode</t>
  </si>
  <si>
    <t>=&gt;</t>
  </si>
  <si>
    <t>T</t>
  </si>
  <si>
    <t># of turns</t>
  </si>
  <si>
    <t>mm</t>
  </si>
  <si>
    <t>Diameter</t>
  </si>
  <si>
    <t>T</t>
  </si>
  <si>
    <t>T</t>
  </si>
  <si>
    <t>Parallel</t>
  </si>
  <si>
    <r>
      <t>(A/mm</t>
    </r>
    <r>
      <rPr>
        <b/>
        <vertAlign val="superscript"/>
        <sz val="11"/>
        <color indexed="12"/>
        <rFont val="돋움"/>
        <family val="3"/>
      </rPr>
      <t>2</t>
    </r>
    <r>
      <rPr>
        <b/>
        <sz val="11"/>
        <color indexed="12"/>
        <rFont val="돋움"/>
        <family val="3"/>
      </rPr>
      <t>)</t>
    </r>
  </si>
  <si>
    <r>
      <t>mm</t>
    </r>
    <r>
      <rPr>
        <b/>
        <vertAlign val="superscript"/>
        <sz val="11"/>
        <color indexed="60"/>
        <rFont val="돋움"/>
        <family val="3"/>
      </rPr>
      <t>2</t>
    </r>
  </si>
  <si>
    <t>uF</t>
  </si>
  <si>
    <t>mΩ</t>
  </si>
  <si>
    <t>㏀</t>
  </si>
  <si>
    <t>V.rms</t>
  </si>
  <si>
    <r>
      <t>nH/T</t>
    </r>
    <r>
      <rPr>
        <vertAlign val="superscript"/>
        <sz val="11"/>
        <rFont val="돋움"/>
        <family val="3"/>
      </rPr>
      <t>2</t>
    </r>
  </si>
  <si>
    <t>nF</t>
  </si>
  <si>
    <t>By Choi</t>
  </si>
  <si>
    <t>4. Determine transformer primary inductance (Lm)</t>
  </si>
  <si>
    <t>Fopr
(KHz)</t>
  </si>
  <si>
    <t>A/R</t>
  </si>
  <si>
    <t>NO</t>
  </si>
  <si>
    <t>Latch</t>
  </si>
  <si>
    <t>YES</t>
  </si>
  <si>
    <t>TO-3P-5L</t>
  </si>
  <si>
    <t>Original</t>
  </si>
  <si>
    <t>TO-3PF-5L</t>
  </si>
  <si>
    <t>STR-F6653</t>
  </si>
  <si>
    <t>Monitor</t>
  </si>
  <si>
    <t>8DIP</t>
  </si>
  <si>
    <t>TO-220-5L</t>
  </si>
  <si>
    <t>Sync.</t>
  </si>
  <si>
    <t>STR-F6654</t>
  </si>
  <si>
    <t>TO-220F-5L</t>
  </si>
  <si>
    <t>FS6S0965RT</t>
  </si>
  <si>
    <t>STR-G5653</t>
  </si>
  <si>
    <t>@36-75VDC</t>
  </si>
  <si>
    <t>DPA426R</t>
  </si>
  <si>
    <t>9 / [7]</t>
  </si>
  <si>
    <t>6 / [5]</t>
  </si>
  <si>
    <t>TNY264P</t>
  </si>
  <si>
    <t>The letter 'x' stands for H/M/L separately. Each letter 'H','M' &amp; 'L' means 100KHz/70KHz/50KHz.</t>
  </si>
  <si>
    <t>(In Normal Operation)</t>
  </si>
  <si>
    <t>Device</t>
  </si>
  <si>
    <t>Recommend
New Device</t>
  </si>
  <si>
    <t>Function</t>
  </si>
  <si>
    <t>Protection Mode</t>
  </si>
  <si>
    <t>Soft Start
Option</t>
  </si>
  <si>
    <t>PKG</t>
  </si>
  <si>
    <t xml:space="preserve">Cross
Reference </t>
  </si>
  <si>
    <t>Application</t>
  </si>
  <si>
    <t>Application Note
www.fairchildsemi.com</t>
  </si>
  <si>
    <t>Features</t>
  </si>
  <si>
    <t>Vdmax
(V)</t>
  </si>
  <si>
    <t>Ipeak
(A)</t>
  </si>
  <si>
    <t>Pin(max)(W)_open frame
[adaptor type]</t>
  </si>
  <si>
    <r>
      <t>Rds(on)
max (</t>
    </r>
    <r>
      <rPr>
        <sz val="10"/>
        <rFont val="돋움"/>
        <family val="3"/>
      </rPr>
      <t>Ω</t>
    </r>
    <r>
      <rPr>
        <sz val="10"/>
        <rFont val="Arial"/>
        <family val="2"/>
      </rPr>
      <t>)</t>
    </r>
  </si>
  <si>
    <t>Over
Load</t>
  </si>
  <si>
    <t>Over
Current</t>
  </si>
  <si>
    <t>Over
Voltage</t>
  </si>
  <si>
    <t>Thermal
Shutdown</t>
  </si>
  <si>
    <t>85-265VAC</t>
  </si>
  <si>
    <t>230VAC</t>
  </si>
  <si>
    <t>1st Generation 800V Class</t>
  </si>
  <si>
    <t>KA1M0280RB</t>
  </si>
  <si>
    <t>KA5x0280R</t>
  </si>
  <si>
    <t>TO-220F-4L</t>
  </si>
  <si>
    <t>TOP223Y</t>
  </si>
  <si>
    <t>DVD</t>
  </si>
  <si>
    <t>AN4105
AN4106</t>
  </si>
  <si>
    <t>KA1x0380RB</t>
  </si>
  <si>
    <t>KA5x0380R</t>
  </si>
  <si>
    <t>67/50</t>
  </si>
  <si>
    <t>TOP224Y</t>
  </si>
  <si>
    <t>VCR / DVD</t>
  </si>
  <si>
    <t>KA1x0680B</t>
  </si>
  <si>
    <t>FS7M0680</t>
  </si>
  <si>
    <t>100/67</t>
  </si>
  <si>
    <t>TO-3P-5L</t>
  </si>
  <si>
    <t>Original</t>
  </si>
  <si>
    <t>PC, SMPS</t>
  </si>
  <si>
    <t>AN4105
AN4104</t>
  </si>
  <si>
    <t>KA1H0680RFB</t>
  </si>
  <si>
    <t>KA1M0680RB</t>
  </si>
  <si>
    <t>KA1M0880B(F)</t>
  </si>
  <si>
    <t>FS7M0880</t>
  </si>
  <si>
    <t>TO-3P(F)-5L</t>
  </si>
  <si>
    <t>KA1M0880D</t>
  </si>
  <si>
    <t>Optimized for forward converter</t>
  </si>
  <si>
    <t>KA2S0680B</t>
  </si>
  <si>
    <t>FS8S0765RCB</t>
  </si>
  <si>
    <t>20~150</t>
  </si>
  <si>
    <t>STR-F6653</t>
  </si>
  <si>
    <t>Monitor</t>
  </si>
  <si>
    <t>AN4105
AN4103</t>
  </si>
  <si>
    <t>KA3S0680RFB</t>
  </si>
  <si>
    <t>KA5Q0765RTH</t>
  </si>
  <si>
    <t>TO-3PF-5L</t>
  </si>
  <si>
    <t>STR-S6707</t>
  </si>
  <si>
    <t>C-TV</t>
  </si>
  <si>
    <t>AN4105
AN4102</t>
  </si>
  <si>
    <t>KA3S0880RFB</t>
  </si>
  <si>
    <t>KA5Q12656RT</t>
  </si>
  <si>
    <t>1st Generation 650V Class</t>
  </si>
  <si>
    <t>KA1H0165RN</t>
  </si>
  <si>
    <t>KA5x0165RN</t>
  </si>
  <si>
    <t>8DIP</t>
  </si>
  <si>
    <t>TOP222P</t>
  </si>
  <si>
    <t>Charger</t>
  </si>
  <si>
    <t>AN4105
AN4101</t>
  </si>
  <si>
    <t>KA1H0165R</t>
  </si>
  <si>
    <t>KA5x0165R</t>
  </si>
  <si>
    <t>TOP222Y</t>
  </si>
  <si>
    <t>KA1M0265R</t>
  </si>
  <si>
    <t>KA5x0265R</t>
  </si>
  <si>
    <t>Auxiliary Power</t>
  </si>
  <si>
    <t>KA1M0365R</t>
  </si>
  <si>
    <t>KA5x0365R</t>
  </si>
  <si>
    <t>STB</t>
  </si>
  <si>
    <t>KA1x0565R</t>
  </si>
  <si>
    <t>FSDM0565R</t>
  </si>
  <si>
    <t>TOP227Y</t>
  </si>
  <si>
    <t>Note-PC Adaptor</t>
  </si>
  <si>
    <t>KA1M0765R</t>
  </si>
  <si>
    <t>KA5M0765RQC</t>
  </si>
  <si>
    <t>SMPS</t>
  </si>
  <si>
    <t>AN4105</t>
  </si>
  <si>
    <t>KA1M0965R</t>
  </si>
  <si>
    <t>KA5M0965Q</t>
  </si>
  <si>
    <t>2nd Generation 800V Class</t>
  </si>
  <si>
    <t>A/R</t>
  </si>
  <si>
    <t>100/67/50</t>
  </si>
  <si>
    <t>KA5P0680C</t>
  </si>
  <si>
    <t>TO-220-5L</t>
  </si>
  <si>
    <t>PC SMPS</t>
  </si>
  <si>
    <t>AN4105,  AN4104</t>
  </si>
  <si>
    <t>Intelligent Power Saving Mode</t>
  </si>
  <si>
    <t>2nd Generation 650V Class</t>
  </si>
  <si>
    <t>TOP222Y
TOP222P</t>
  </si>
  <si>
    <t xml:space="preserve">Charger
Auxiliary </t>
  </si>
  <si>
    <t>FSDL0165RN</t>
  </si>
  <si>
    <t>KA5x02659RN</t>
  </si>
  <si>
    <t>FSDx0265RN</t>
  </si>
  <si>
    <t>KA5H0265RC</t>
  </si>
  <si>
    <t>KA5x0365RN</t>
  </si>
  <si>
    <t>FSDx0365RN</t>
  </si>
  <si>
    <t>TOP224P</t>
  </si>
  <si>
    <t>KA5S0765C</t>
  </si>
  <si>
    <t>Sync.</t>
  </si>
  <si>
    <t>KA5S0965</t>
  </si>
  <si>
    <t>FS6S0965RCB</t>
  </si>
  <si>
    <t>STR-F6654</t>
  </si>
  <si>
    <t>KA5S12656</t>
  </si>
  <si>
    <t>FS6S1265RE</t>
  </si>
  <si>
    <t>STR-F6656</t>
  </si>
  <si>
    <t>KA5S1265</t>
  </si>
  <si>
    <t>KA5Q0565RT</t>
  </si>
  <si>
    <t>QRC</t>
  </si>
  <si>
    <t>Latch</t>
  </si>
  <si>
    <t>NO</t>
  </si>
  <si>
    <t>TO-220F-5L</t>
  </si>
  <si>
    <t>1.Burst Mode Operation for low stdby
2.Simple application with both primary and secondary side regulation</t>
  </si>
  <si>
    <t>KA5Q0740RT</t>
  </si>
  <si>
    <t>-</t>
  </si>
  <si>
    <t>FSCQ0765RT</t>
  </si>
  <si>
    <t>KA5Q1265RF</t>
  </si>
  <si>
    <t>KA5Q1265RFH</t>
  </si>
  <si>
    <t>KA5Q1565RF</t>
  </si>
  <si>
    <t>3rd Generation</t>
  </si>
  <si>
    <t>FS6M07652RTC</t>
  </si>
  <si>
    <t>FSDM07652R</t>
  </si>
  <si>
    <t>LCD Monitor</t>
  </si>
  <si>
    <t>AN4105
AN4116</t>
  </si>
  <si>
    <t>Burst Mode Operation for low stdby</t>
  </si>
  <si>
    <t>FS6M12653RTC</t>
  </si>
  <si>
    <t>FS6S0765RCH</t>
  </si>
  <si>
    <t>AN4105
AN4108</t>
  </si>
  <si>
    <t>FS6S0965R</t>
  </si>
  <si>
    <t>FS6S1565RB</t>
  </si>
  <si>
    <t>PDP, PC</t>
  </si>
  <si>
    <t>AN4104</t>
  </si>
  <si>
    <t>YES</t>
  </si>
  <si>
    <t>PSR, Low stdby power</t>
  </si>
  <si>
    <t>FS6X1220RT</t>
  </si>
  <si>
    <t>@36-75VDC</t>
  </si>
  <si>
    <t>DPA426R</t>
  </si>
  <si>
    <t>DC/DC off-line</t>
  </si>
  <si>
    <t>FS6X1220RD</t>
  </si>
  <si>
    <t>D2-PAK-5L</t>
  </si>
  <si>
    <t>Green FPS</t>
  </si>
  <si>
    <t>FSDH0165</t>
  </si>
  <si>
    <t>FSDM311</t>
  </si>
  <si>
    <t>9 / [7]</t>
  </si>
  <si>
    <t>8DIPH</t>
  </si>
  <si>
    <t>TNY266P</t>
  </si>
  <si>
    <t>AN4105
AN4111</t>
  </si>
  <si>
    <t>1Chip 1PKG</t>
  </si>
  <si>
    <t>FSDH0165D</t>
  </si>
  <si>
    <t>FSDH565</t>
  </si>
  <si>
    <t>FSD200/FSD210</t>
  </si>
  <si>
    <t>6 / [5]</t>
  </si>
  <si>
    <t>TNY264P</t>
  </si>
  <si>
    <r>
      <t>FSD200</t>
    </r>
    <r>
      <rPr>
        <b/>
        <sz val="10"/>
        <color indexed="10"/>
        <rFont val="Arial"/>
        <family val="2"/>
      </rPr>
      <t>(M)</t>
    </r>
  </si>
  <si>
    <t>9 / [6]</t>
  </si>
  <si>
    <r>
      <t>7DIP</t>
    </r>
    <r>
      <rPr>
        <b/>
        <sz val="10"/>
        <color indexed="10"/>
        <rFont val="Arial"/>
        <family val="2"/>
      </rPr>
      <t>(7LSOP)</t>
    </r>
  </si>
  <si>
    <r>
      <t>FSD210</t>
    </r>
    <r>
      <rPr>
        <b/>
        <sz val="10"/>
        <color indexed="10"/>
        <rFont val="Arial"/>
        <family val="2"/>
      </rPr>
      <t>(M)</t>
    </r>
  </si>
  <si>
    <t>VIPer22A</t>
  </si>
  <si>
    <t>PC Aux</t>
  </si>
  <si>
    <t>2Chip 1PKG</t>
  </si>
  <si>
    <t>FSDL312</t>
  </si>
  <si>
    <t>FSD1000</t>
  </si>
  <si>
    <t>12DIPH</t>
  </si>
  <si>
    <t>PC</t>
  </si>
  <si>
    <t>FSDL0165RN(L)</t>
  </si>
  <si>
    <t>8DIP(8LSOP)</t>
  </si>
  <si>
    <t>DVDP/STB</t>
  </si>
  <si>
    <t>TO-220F-6L</t>
  </si>
  <si>
    <t>CTV</t>
  </si>
  <si>
    <t>FSCQ1565RT</t>
  </si>
  <si>
    <t>FSCQ1565RG</t>
  </si>
  <si>
    <t>TO-3PF-6L</t>
  </si>
  <si>
    <t>FSCQ2065RG</t>
  </si>
  <si>
    <t>A/R-Auto Restart</t>
  </si>
  <si>
    <t>Pin(max) Test Condition :</t>
  </si>
  <si>
    <t>85-265VAC :</t>
  </si>
  <si>
    <t>Flyback Converter, Discontinuous Current Mode, Dmax=0.50, Vin=100VDC</t>
  </si>
  <si>
    <t>230VAC :</t>
  </si>
  <si>
    <t>Flyback Converter, Discontinuous Current Mode, Dmax=0.25, Vin=220VDC</t>
  </si>
  <si>
    <t>under development</t>
  </si>
  <si>
    <t>not recommend for new design</t>
  </si>
  <si>
    <t>5. Choose the proper FPS considering the input power and current limit</t>
  </si>
  <si>
    <t xml:space="preserve">10. Determine the output capacitor </t>
  </si>
  <si>
    <t>11. Design RCD snubber</t>
  </si>
  <si>
    <t>12. Design Feedback control loop</t>
  </si>
  <si>
    <t>2nd output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</si>
  <si>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</si>
  <si>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</si>
  <si>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</si>
  <si>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</si>
  <si>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</si>
  <si>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</si>
  <si>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</si>
  <si>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</si>
  <si>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</si>
  <si>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</si>
  <si>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 xml:space="preserve">㏀ </t>
  </si>
  <si>
    <r>
      <t>Maximum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</si>
  <si>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Minimum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</si>
  <si>
    <r>
      <t>Line frequency (f</t>
    </r>
    <r>
      <rPr>
        <vertAlign val="subscript"/>
        <sz val="11"/>
        <color indexed="12"/>
        <rFont val="돋움"/>
        <family val="3"/>
      </rPr>
      <t>L</t>
    </r>
    <r>
      <rPr>
        <sz val="11"/>
        <color indexed="12"/>
        <rFont val="돋움"/>
        <family val="3"/>
      </rPr>
      <t>)</t>
    </r>
  </si>
  <si>
    <t>1st output for feedback</t>
  </si>
  <si>
    <r>
      <t>Maximum output power (P</t>
    </r>
    <r>
      <rPr>
        <b/>
        <vertAlign val="subscript"/>
        <sz val="11"/>
        <color indexed="60"/>
        <rFont val="돋움"/>
        <family val="3"/>
      </rPr>
      <t>o</t>
    </r>
    <r>
      <rPr>
        <b/>
        <sz val="11"/>
        <color indexed="60"/>
        <rFont val="돋움"/>
        <family val="3"/>
      </rPr>
      <t>) =</t>
    </r>
  </si>
  <si>
    <r>
      <t>Maximum input power (P</t>
    </r>
    <r>
      <rPr>
        <b/>
        <vertAlign val="subscript"/>
        <sz val="11"/>
        <color indexed="60"/>
        <rFont val="돋움"/>
        <family val="3"/>
      </rPr>
      <t>in</t>
    </r>
    <r>
      <rPr>
        <b/>
        <sz val="11"/>
        <color indexed="60"/>
        <rFont val="돋움"/>
        <family val="3"/>
      </rPr>
      <t>) =</t>
    </r>
  </si>
  <si>
    <r>
      <t>Estimated efficiency (E</t>
    </r>
    <r>
      <rPr>
        <vertAlign val="subscript"/>
        <sz val="11"/>
        <color indexed="12"/>
        <rFont val="돋움"/>
        <family val="3"/>
      </rPr>
      <t>ff</t>
    </r>
    <r>
      <rPr>
        <sz val="11"/>
        <color indexed="12"/>
        <rFont val="돋움"/>
        <family val="3"/>
      </rPr>
      <t>)</t>
    </r>
  </si>
  <si>
    <r>
      <t>DC link capacitor (C</t>
    </r>
    <r>
      <rPr>
        <vertAlign val="subscript"/>
        <sz val="11"/>
        <color indexed="12"/>
        <rFont val="돋움"/>
        <family val="3"/>
      </rPr>
      <t>DC</t>
    </r>
    <r>
      <rPr>
        <sz val="11"/>
        <color indexed="12"/>
        <rFont val="돋움"/>
        <family val="3"/>
      </rPr>
      <t>)</t>
    </r>
  </si>
  <si>
    <r>
      <t>Maximum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</si>
  <si>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r>
      <t>Minimum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 =</t>
    </r>
  </si>
  <si>
    <r>
      <t>Max nominal MOSFET voltage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nom</t>
    </r>
    <r>
      <rPr>
        <b/>
        <sz val="11"/>
        <color indexed="60"/>
        <rFont val="돋움"/>
        <family val="3"/>
      </rPr>
      <t>) =</t>
    </r>
  </si>
  <si>
    <r>
      <t>Switching frequency of FPS (f</t>
    </r>
    <r>
      <rPr>
        <vertAlign val="subscript"/>
        <sz val="11"/>
        <color indexed="12"/>
        <rFont val="돋움"/>
        <family val="3"/>
      </rPr>
      <t>s</t>
    </r>
    <r>
      <rPr>
        <sz val="11"/>
        <color indexed="12"/>
        <rFont val="돋움"/>
        <family val="3"/>
      </rPr>
      <t>)</t>
    </r>
  </si>
  <si>
    <r>
      <t>Primary side inductance (L</t>
    </r>
    <r>
      <rPr>
        <b/>
        <vertAlign val="subscript"/>
        <sz val="11"/>
        <color indexed="60"/>
        <rFont val="돋움"/>
        <family val="3"/>
      </rPr>
      <t>m</t>
    </r>
    <r>
      <rPr>
        <b/>
        <sz val="11"/>
        <color indexed="60"/>
        <rFont val="돋움"/>
        <family val="3"/>
      </rPr>
      <t>) =</t>
    </r>
  </si>
  <si>
    <r>
      <t>Maximum peak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peak</t>
    </r>
    <r>
      <rPr>
        <b/>
        <sz val="11"/>
        <color indexed="60"/>
        <rFont val="돋움"/>
        <family val="3"/>
      </rPr>
      <t>) =</t>
    </r>
  </si>
  <si>
    <r>
      <t>Maximum DC link voltage in CCM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CCM</t>
    </r>
    <r>
      <rPr>
        <b/>
        <sz val="11"/>
        <color indexed="60"/>
        <rFont val="돋움"/>
        <family val="3"/>
      </rPr>
      <t>)</t>
    </r>
  </si>
  <si>
    <r>
      <t>RMS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rms</t>
    </r>
    <r>
      <rPr>
        <b/>
        <sz val="11"/>
        <color indexed="60"/>
        <rFont val="돋움"/>
        <family val="3"/>
      </rPr>
      <t>) =</t>
    </r>
  </si>
  <si>
    <r>
      <t>Saturation flux density (B</t>
    </r>
    <r>
      <rPr>
        <vertAlign val="subscript"/>
        <sz val="11"/>
        <color indexed="12"/>
        <rFont val="돋움"/>
        <family val="3"/>
      </rPr>
      <t>sat</t>
    </r>
    <r>
      <rPr>
        <sz val="11"/>
        <color indexed="12"/>
        <rFont val="돋움"/>
        <family val="3"/>
      </rPr>
      <t>)</t>
    </r>
  </si>
  <si>
    <r>
      <t>Cross sectional area of core (A</t>
    </r>
    <r>
      <rPr>
        <vertAlign val="subscript"/>
        <sz val="11"/>
        <color indexed="12"/>
        <rFont val="돋움"/>
        <family val="3"/>
      </rPr>
      <t>e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</si>
  <si>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F(n)</t>
    </r>
  </si>
  <si>
    <r>
      <t>Primary turns (N</t>
    </r>
    <r>
      <rPr>
        <b/>
        <u val="single"/>
        <vertAlign val="subscript"/>
        <sz val="11"/>
        <color indexed="60"/>
        <rFont val="돋움"/>
        <family val="3"/>
      </rPr>
      <t>p</t>
    </r>
    <r>
      <rPr>
        <b/>
        <u val="single"/>
        <sz val="11"/>
        <color indexed="60"/>
        <rFont val="돋움"/>
        <family val="3"/>
      </rPr>
      <t>)=</t>
    </r>
  </si>
  <si>
    <r>
      <t>V</t>
    </r>
    <r>
      <rPr>
        <b/>
        <vertAlign val="subscript"/>
        <sz val="11"/>
        <color indexed="9"/>
        <rFont val="돋움"/>
        <family val="3"/>
      </rPr>
      <t>o(n)</t>
    </r>
  </si>
  <si>
    <r>
      <t>I</t>
    </r>
    <r>
      <rPr>
        <b/>
        <vertAlign val="subscript"/>
        <sz val="11"/>
        <color indexed="9"/>
        <rFont val="돋움"/>
        <family val="3"/>
      </rPr>
      <t>o(n)</t>
    </r>
  </si>
  <si>
    <r>
      <t>P</t>
    </r>
    <r>
      <rPr>
        <b/>
        <vertAlign val="subscript"/>
        <sz val="11"/>
        <color indexed="9"/>
        <rFont val="돋움"/>
        <family val="3"/>
      </rPr>
      <t>o(n)</t>
    </r>
  </si>
  <si>
    <r>
      <t>K</t>
    </r>
    <r>
      <rPr>
        <b/>
        <vertAlign val="subscript"/>
        <sz val="11"/>
        <color indexed="9"/>
        <rFont val="돋움"/>
        <family val="3"/>
      </rPr>
      <t>L(n)</t>
    </r>
  </si>
  <si>
    <r>
      <t>Ripple factor (K</t>
    </r>
    <r>
      <rPr>
        <vertAlign val="subscript"/>
        <sz val="11"/>
        <color indexed="12"/>
        <rFont val="돋움"/>
        <family val="3"/>
      </rPr>
      <t>RF</t>
    </r>
    <r>
      <rPr>
        <sz val="11"/>
        <color indexed="12"/>
        <rFont val="돋움"/>
        <family val="3"/>
      </rPr>
      <t>)</t>
    </r>
  </si>
  <si>
    <r>
      <t>I</t>
    </r>
    <r>
      <rPr>
        <b/>
        <vertAlign val="subscript"/>
        <sz val="11"/>
        <color indexed="9"/>
        <rFont val="돋움"/>
        <family val="3"/>
      </rPr>
      <t>D(n)</t>
    </r>
    <r>
      <rPr>
        <b/>
        <vertAlign val="superscript"/>
        <sz val="11"/>
        <color indexed="9"/>
        <rFont val="돋움"/>
        <family val="3"/>
      </rPr>
      <t>rms</t>
    </r>
    <r>
      <rPr>
        <b/>
        <sz val="11"/>
        <color indexed="9"/>
        <rFont val="돋움"/>
        <family val="3"/>
      </rPr>
      <t xml:space="preserve"> </t>
    </r>
  </si>
  <si>
    <r>
      <t>Fill factor (K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</si>
  <si>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Required window area (A</t>
    </r>
    <r>
      <rPr>
        <b/>
        <u val="single"/>
        <vertAlign val="subscript"/>
        <sz val="11"/>
        <color indexed="60"/>
        <rFont val="돋움"/>
        <family val="3"/>
      </rPr>
      <t>wr</t>
    </r>
    <r>
      <rPr>
        <b/>
        <u val="single"/>
        <sz val="11"/>
        <color indexed="60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</si>
  <si>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D(n)</t>
    </r>
  </si>
  <si>
    <r>
      <t>I</t>
    </r>
    <r>
      <rPr>
        <b/>
        <vertAlign val="subscript"/>
        <sz val="11"/>
        <color indexed="8"/>
        <rFont val="돋움"/>
        <family val="3"/>
      </rPr>
      <t>D(n)</t>
    </r>
    <r>
      <rPr>
        <b/>
        <vertAlign val="superscript"/>
        <sz val="11"/>
        <color indexed="8"/>
        <rFont val="돋움"/>
        <family val="3"/>
      </rPr>
      <t>rms</t>
    </r>
  </si>
  <si>
    <r>
      <t>C</t>
    </r>
    <r>
      <rPr>
        <b/>
        <vertAlign val="subscript"/>
        <sz val="11"/>
        <color indexed="9"/>
        <rFont val="돋움"/>
        <family val="3"/>
      </rPr>
      <t>o(n)</t>
    </r>
  </si>
  <si>
    <r>
      <t>R</t>
    </r>
    <r>
      <rPr>
        <b/>
        <vertAlign val="subscript"/>
        <sz val="11"/>
        <color indexed="8"/>
        <rFont val="돋움"/>
        <family val="3"/>
      </rPr>
      <t>C(n)</t>
    </r>
  </si>
  <si>
    <r>
      <t>I</t>
    </r>
    <r>
      <rPr>
        <b/>
        <vertAlign val="subscript"/>
        <sz val="11"/>
        <color indexed="9"/>
        <rFont val="돋움"/>
        <family val="3"/>
      </rPr>
      <t>cap(n)</t>
    </r>
  </si>
  <si>
    <r>
      <t>ΔV</t>
    </r>
    <r>
      <rPr>
        <b/>
        <vertAlign val="subscript"/>
        <sz val="11"/>
        <color indexed="8"/>
        <rFont val="돋움"/>
        <family val="3"/>
      </rPr>
      <t>o(n)</t>
    </r>
  </si>
  <si>
    <r>
      <t>Primary side leakage inductance (L</t>
    </r>
    <r>
      <rPr>
        <vertAlign val="subscript"/>
        <sz val="11"/>
        <color indexed="12"/>
        <rFont val="돋움"/>
        <family val="3"/>
      </rPr>
      <t>lk</t>
    </r>
    <r>
      <rPr>
        <sz val="11"/>
        <color indexed="12"/>
        <rFont val="돋움"/>
        <family val="3"/>
      </rPr>
      <t>)</t>
    </r>
  </si>
  <si>
    <t>Maximum snubber capacitor voltage ripple</t>
  </si>
  <si>
    <t>rad/s =&gt;</t>
  </si>
  <si>
    <r>
      <t>f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</si>
  <si>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</si>
  <si>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=</t>
    </r>
  </si>
  <si>
    <r>
      <t>Voltage divider resistor (R</t>
    </r>
    <r>
      <rPr>
        <vertAlign val="subscript"/>
        <sz val="11"/>
        <color indexed="12"/>
        <rFont val="돋움"/>
        <family val="3"/>
      </rPr>
      <t>1</t>
    </r>
    <r>
      <rPr>
        <sz val="11"/>
        <color indexed="12"/>
        <rFont val="돋움"/>
        <family val="3"/>
      </rPr>
      <t>)</t>
    </r>
  </si>
  <si>
    <r>
      <t>Opto coupler diode resistor (R</t>
    </r>
    <r>
      <rPr>
        <vertAlign val="subscript"/>
        <sz val="11"/>
        <color indexed="12"/>
        <rFont val="돋움"/>
        <family val="3"/>
      </rPr>
      <t>D</t>
    </r>
    <r>
      <rPr>
        <sz val="11"/>
        <color indexed="12"/>
        <rFont val="돋움"/>
        <family val="3"/>
      </rPr>
      <t>)</t>
    </r>
  </si>
  <si>
    <r>
      <t>KA431 Bias resistor (R</t>
    </r>
    <r>
      <rPr>
        <vertAlign val="subscript"/>
        <sz val="11"/>
        <color indexed="12"/>
        <rFont val="돋움"/>
        <family val="3"/>
      </rPr>
      <t>bias</t>
    </r>
    <r>
      <rPr>
        <sz val="11"/>
        <color indexed="12"/>
        <rFont val="돋움"/>
        <family val="3"/>
      </rPr>
      <t>)</t>
    </r>
  </si>
  <si>
    <r>
      <t>Feeback pin capacitor (C</t>
    </r>
    <r>
      <rPr>
        <vertAlign val="subscript"/>
        <sz val="11"/>
        <color indexed="12"/>
        <rFont val="돋움"/>
        <family val="3"/>
      </rPr>
      <t>B</t>
    </r>
    <r>
      <rPr>
        <sz val="11"/>
        <color indexed="12"/>
        <rFont val="돋움"/>
        <family val="3"/>
      </rPr>
      <t>) =</t>
    </r>
  </si>
  <si>
    <r>
      <t>Feedback Capacitor (C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</si>
  <si>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resistor (R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</si>
  <si>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t>Vcc (Use Vcc start voltage)</t>
  </si>
  <si>
    <t>2nd output</t>
  </si>
  <si>
    <t>Gap length (G) ; center pole gap =</t>
  </si>
  <si>
    <t>Primary winding</t>
  </si>
  <si>
    <t>Vcc winding</t>
  </si>
  <si>
    <r>
      <t>Copper area (A</t>
    </r>
    <r>
      <rPr>
        <b/>
        <vertAlign val="subscript"/>
        <sz val="11"/>
        <color indexed="60"/>
        <rFont val="돋움"/>
        <family val="3"/>
      </rPr>
      <t>c</t>
    </r>
    <r>
      <rPr>
        <b/>
        <sz val="11"/>
        <color indexed="60"/>
        <rFont val="돋움"/>
        <family val="3"/>
      </rPr>
      <t>) =</t>
    </r>
  </si>
  <si>
    <t>Vcc diode</t>
  </si>
  <si>
    <r>
      <t>Snubber resistor (R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</si>
  <si>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Snubber capacitor (C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</si>
  <si>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Peak drain current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 xml:space="preserve"> (I</t>
    </r>
    <r>
      <rPr>
        <b/>
        <vertAlign val="subscript"/>
        <sz val="11"/>
        <color indexed="60"/>
        <rFont val="돋움"/>
        <family val="3"/>
      </rPr>
      <t>ds2</t>
    </r>
    <r>
      <rPr>
        <b/>
        <sz val="11"/>
        <color indexed="60"/>
        <rFont val="돋움"/>
        <family val="3"/>
      </rPr>
      <t>) =</t>
    </r>
  </si>
  <si>
    <r>
      <t>Max Voltage of Csn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 xml:space="preserve">max </t>
    </r>
    <r>
      <rPr>
        <b/>
        <sz val="11"/>
        <color indexed="60"/>
        <rFont val="돋움"/>
        <family val="3"/>
      </rPr>
      <t>(V</t>
    </r>
    <r>
      <rPr>
        <b/>
        <vertAlign val="subscript"/>
        <sz val="11"/>
        <color indexed="60"/>
        <rFont val="돋움"/>
        <family val="3"/>
      </rPr>
      <t>sn2</t>
    </r>
    <r>
      <rPr>
        <b/>
        <sz val="11"/>
        <color indexed="60"/>
        <rFont val="돋움"/>
        <family val="3"/>
      </rPr>
      <t>)=</t>
    </r>
  </si>
  <si>
    <r>
      <t>Max Voltage stress of MOSFET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</si>
  <si>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t>Control-to-output DC gain =</t>
  </si>
  <si>
    <r>
      <t>Voltage divider resistor (R</t>
    </r>
    <r>
      <rPr>
        <b/>
        <vertAlign val="subscript"/>
        <sz val="11"/>
        <color indexed="60"/>
        <rFont val="돋움"/>
        <family val="3"/>
      </rPr>
      <t>2</t>
    </r>
    <r>
      <rPr>
        <b/>
        <sz val="11"/>
        <color indexed="60"/>
        <rFont val="돋움"/>
        <family val="3"/>
      </rPr>
      <t>)=</t>
    </r>
  </si>
  <si>
    <r>
      <t>Compensator zero (w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)=</t>
    </r>
  </si>
  <si>
    <r>
      <t>Compensator pole (w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)=</t>
    </r>
  </si>
  <si>
    <r>
      <t>Control-to-output zero (w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) =</t>
    </r>
  </si>
  <si>
    <r>
      <t>Control-to-output RHP zero (w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)=</t>
    </r>
  </si>
  <si>
    <r>
      <t>Control-to-output pole (w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)=</t>
    </r>
  </si>
  <si>
    <r>
      <t>Feedback integrator gain (w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) =</t>
    </r>
  </si>
  <si>
    <r>
      <t>f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=</t>
    </r>
  </si>
  <si>
    <r>
      <t>Minimum primary turns (N</t>
    </r>
    <r>
      <rPr>
        <b/>
        <vertAlign val="subscript"/>
        <sz val="11"/>
        <color indexed="60"/>
        <rFont val="돋움"/>
        <family val="3"/>
      </rPr>
      <t>p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)=</t>
    </r>
  </si>
  <si>
    <t>7. Determine the number of turns for each output</t>
  </si>
  <si>
    <r>
      <t>Typical current limit of FPS (I</t>
    </r>
    <r>
      <rPr>
        <vertAlign val="subscript"/>
        <sz val="11"/>
        <color indexed="12"/>
        <rFont val="돋움"/>
        <family val="3"/>
      </rPr>
      <t>over</t>
    </r>
    <r>
      <rPr>
        <sz val="11"/>
        <color indexed="12"/>
        <rFont val="돋움"/>
        <family val="3"/>
      </rPr>
      <t>)</t>
    </r>
  </si>
  <si>
    <t xml:space="preserve">A </t>
  </si>
  <si>
    <t>&gt;</t>
  </si>
  <si>
    <r>
      <t>Maximum Voltage of snubber capacitor (V</t>
    </r>
    <r>
      <rPr>
        <vertAlign val="subscript"/>
        <sz val="11"/>
        <color indexed="12"/>
        <rFont val="돋움"/>
        <family val="3"/>
      </rPr>
      <t>sn</t>
    </r>
    <r>
      <rPr>
        <sz val="11"/>
        <color indexed="12"/>
        <rFont val="돋움"/>
        <family val="3"/>
      </rPr>
      <t>)</t>
    </r>
  </si>
  <si>
    <r>
      <t>Power loss in snubber resistor (P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</si>
  <si>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Minimum I</t>
    </r>
    <r>
      <rPr>
        <b/>
        <vertAlign val="subscript"/>
        <sz val="11"/>
        <color indexed="16"/>
        <rFont val="돋움"/>
        <family val="3"/>
      </rPr>
      <t>over</t>
    </r>
    <r>
      <rPr>
        <b/>
        <sz val="11"/>
        <color indexed="16"/>
        <rFont val="돋움"/>
        <family val="3"/>
      </rPr>
      <t xml:space="preserve"> considering tolerance of 12%</t>
    </r>
  </si>
  <si>
    <t>Ungapped AL value (AL)</t>
  </si>
  <si>
    <r>
      <t>f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</si>
  <si>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=</t>
    </r>
  </si>
  <si>
    <t>Type</t>
  </si>
  <si>
    <t>Dimensions (mm)</t>
  </si>
  <si>
    <t>Ae</t>
  </si>
  <si>
    <t>le</t>
  </si>
  <si>
    <t>Weight</t>
  </si>
  <si>
    <t>A</t>
  </si>
  <si>
    <t>B</t>
  </si>
  <si>
    <t>C</t>
  </si>
  <si>
    <t>D</t>
  </si>
  <si>
    <t>I</t>
  </si>
  <si>
    <t>(mm^2)</t>
  </si>
  <si>
    <t>(mm)</t>
  </si>
  <si>
    <t>(g)</t>
  </si>
  <si>
    <t>EI12.5</t>
  </si>
  <si>
    <t>12.4±0.3</t>
  </si>
  <si>
    <t>7.4±0.1</t>
  </si>
  <si>
    <t>4.85±0.15</t>
  </si>
  <si>
    <t>2.4±0.1</t>
  </si>
  <si>
    <t>1.5±0.1</t>
  </si>
  <si>
    <t>EI16</t>
  </si>
  <si>
    <t>16±0.3</t>
  </si>
  <si>
    <t>12.2±0.2</t>
  </si>
  <si>
    <t>4.8±0.2</t>
  </si>
  <si>
    <t>4±0.2</t>
  </si>
  <si>
    <t>2±0.2</t>
  </si>
  <si>
    <t>EI19</t>
  </si>
  <si>
    <t>20±0.3</t>
  </si>
  <si>
    <t>13.55±0.25</t>
  </si>
  <si>
    <t>5±0.2</t>
  </si>
  <si>
    <t>4.55±0.15</t>
  </si>
  <si>
    <t>2.3±0.1</t>
  </si>
  <si>
    <t>EI22</t>
  </si>
  <si>
    <t>22±0.3</t>
  </si>
  <si>
    <t>14.55±0.25</t>
  </si>
  <si>
    <t>5.75±0.25</t>
  </si>
  <si>
    <t>4.5±0.2</t>
  </si>
  <si>
    <t>EI22/19/6</t>
  </si>
  <si>
    <t>22±0.4</t>
  </si>
  <si>
    <t>14.7±0.2</t>
  </si>
  <si>
    <t>EI25</t>
  </si>
  <si>
    <t>25.3±0.5</t>
  </si>
  <si>
    <t>15.55±0.25</t>
  </si>
  <si>
    <t>6.75±0.25</t>
  </si>
  <si>
    <t>6.5±0.3</t>
  </si>
  <si>
    <t>2.7±0.2</t>
  </si>
  <si>
    <t>EI28</t>
  </si>
  <si>
    <t>28±0.5</t>
  </si>
  <si>
    <t>16.75±0.25</t>
  </si>
  <si>
    <t>10.6±0.2</t>
  </si>
  <si>
    <t>7.2±0.3</t>
  </si>
  <si>
    <t>3.5±0.3</t>
  </si>
  <si>
    <t>EI30</t>
  </si>
  <si>
    <t>30±0.4</t>
  </si>
  <si>
    <t>21.25±0.25</t>
  </si>
  <si>
    <t>10.7±0.3</t>
  </si>
  <si>
    <t>5.5±0.2</t>
  </si>
  <si>
    <t>EI33/29/13</t>
  </si>
  <si>
    <t>33±0.5</t>
  </si>
  <si>
    <t>23.75±0.25</t>
  </si>
  <si>
    <t>12.7±0.3</t>
  </si>
  <si>
    <t>9.7±0.3</t>
  </si>
  <si>
    <t>5±0.3</t>
  </si>
  <si>
    <t>EI35</t>
  </si>
  <si>
    <t>35±0.5</t>
  </si>
  <si>
    <t>24.25±0.25</t>
  </si>
  <si>
    <t>10±0.3</t>
  </si>
  <si>
    <t>4.6±0.3</t>
  </si>
  <si>
    <t>EI40</t>
  </si>
  <si>
    <t>40±0.5</t>
  </si>
  <si>
    <t>27.25±0.25</t>
  </si>
  <si>
    <t>11.65±0.35</t>
  </si>
  <si>
    <t>7.5±0.3</t>
  </si>
  <si>
    <t>EI50</t>
  </si>
  <si>
    <t>50±0.7</t>
  </si>
  <si>
    <t>33.35±0.35</t>
  </si>
  <si>
    <t>14.6±0.4</t>
  </si>
  <si>
    <t>9±0.3</t>
  </si>
  <si>
    <t>EI60</t>
  </si>
  <si>
    <t>60±0.8</t>
  </si>
  <si>
    <t>35.85±0.35</t>
  </si>
  <si>
    <t>15.6±0.4</t>
  </si>
  <si>
    <t>8.5±0.3</t>
  </si>
  <si>
    <t>Fig.</t>
  </si>
  <si>
    <t>Dimensions  (mm)</t>
  </si>
  <si>
    <t>Weight</t>
  </si>
  <si>
    <t>øD</t>
  </si>
  <si>
    <t>EER25.5</t>
  </si>
  <si>
    <t>25.5±0.5</t>
  </si>
  <si>
    <t>9.3±0.2</t>
  </si>
  <si>
    <t>7.5±0.2</t>
  </si>
  <si>
    <t>7.5±0.15</t>
  </si>
  <si>
    <t>EER28</t>
  </si>
  <si>
    <t>28.55±0.55</t>
  </si>
  <si>
    <t>14±0.2</t>
  </si>
  <si>
    <t>11.4±0.25</t>
  </si>
  <si>
    <t>9.9±0.25</t>
  </si>
  <si>
    <t>EER28L</t>
  </si>
  <si>
    <t>16.9±0.25</t>
  </si>
  <si>
    <t>EER35</t>
  </si>
  <si>
    <t>20.7±0.2</t>
  </si>
  <si>
    <t>11.3±0.2</t>
  </si>
  <si>
    <t>11.3±0.15</t>
  </si>
  <si>
    <t>EER40</t>
  </si>
  <si>
    <t>22.4±0.2</t>
  </si>
  <si>
    <t>13.3±0.25</t>
  </si>
  <si>
    <t>EER42</t>
  </si>
  <si>
    <t>42±0.6</t>
  </si>
  <si>
    <t>15.5±0.25</t>
  </si>
  <si>
    <t>EER42/42/20</t>
  </si>
  <si>
    <t>42.15±0.65</t>
  </si>
  <si>
    <t>21.2±0.2</t>
  </si>
  <si>
    <t>19.6±0.4</t>
  </si>
  <si>
    <t>17.3±0.25</t>
  </si>
  <si>
    <t>EER49</t>
  </si>
  <si>
    <t>49±0.8</t>
  </si>
  <si>
    <t>19±0.3</t>
  </si>
  <si>
    <t>17.2±0.4</t>
  </si>
  <si>
    <t>17.2±0.25</t>
  </si>
  <si>
    <t>Dimensions (mm)</t>
  </si>
  <si>
    <t>A1</t>
  </si>
  <si>
    <t>A2</t>
  </si>
  <si>
    <t>øC</t>
  </si>
  <si>
    <t>2D</t>
  </si>
  <si>
    <t>PQ20/16</t>
  </si>
  <si>
    <t>20.5±0.4</t>
  </si>
  <si>
    <t>14±0.4</t>
  </si>
  <si>
    <t>8.8±0.2</t>
  </si>
  <si>
    <t>16.2±0.2</t>
  </si>
  <si>
    <t>PQ20/20</t>
  </si>
  <si>
    <t>20.2±0.2</t>
  </si>
  <si>
    <t>PQ26/20</t>
  </si>
  <si>
    <t>26.5±0.45</t>
  </si>
  <si>
    <t>19±0.45</t>
  </si>
  <si>
    <t>12±0.2</t>
  </si>
  <si>
    <t>20.15±0.25</t>
  </si>
  <si>
    <t>PQ26/25</t>
  </si>
  <si>
    <t>24.75±0.25</t>
  </si>
  <si>
    <t>PQ32/20</t>
  </si>
  <si>
    <t>32±0.5</t>
  </si>
  <si>
    <t>22±0.5</t>
  </si>
  <si>
    <t>13.45±0.25</t>
  </si>
  <si>
    <t>20.55±0.25</t>
  </si>
  <si>
    <t>PQ32/30</t>
  </si>
  <si>
    <t>30.35±0.25</t>
  </si>
  <si>
    <t>PQ35/35</t>
  </si>
  <si>
    <t>35.1±0.6</t>
  </si>
  <si>
    <t>26±0.5</t>
  </si>
  <si>
    <t>14.35±0.25</t>
  </si>
  <si>
    <t>34.75±0.25</t>
  </si>
  <si>
    <t>PQ40/40</t>
  </si>
  <si>
    <t>40.5±0.9</t>
  </si>
  <si>
    <t>28±0.6</t>
  </si>
  <si>
    <t>14.9±0.3</t>
  </si>
  <si>
    <t>39.75±0.25</t>
  </si>
  <si>
    <t>PQ50/50</t>
  </si>
  <si>
    <t>32±0.6</t>
  </si>
  <si>
    <t>20±0.35</t>
  </si>
  <si>
    <t>49.95±0.25</t>
  </si>
  <si>
    <r>
      <t>Output voltage reflected to primary (V</t>
    </r>
    <r>
      <rPr>
        <vertAlign val="subscript"/>
        <sz val="11"/>
        <color indexed="12"/>
        <rFont val="돋움"/>
        <family val="3"/>
      </rPr>
      <t>RO</t>
    </r>
    <r>
      <rPr>
        <sz val="11"/>
        <color indexed="12"/>
        <rFont val="돋움"/>
        <family val="3"/>
      </rPr>
      <t>)=</t>
    </r>
  </si>
  <si>
    <r>
      <t>Maximum duty ratio for CCM (D</t>
    </r>
    <r>
      <rPr>
        <b/>
        <vertAlign val="subscript"/>
        <sz val="11"/>
        <color indexed="16"/>
        <rFont val="돋움"/>
        <family val="3"/>
      </rPr>
      <t>mc</t>
    </r>
    <r>
      <rPr>
        <b/>
        <sz val="11"/>
        <color indexed="16"/>
        <rFont val="돋움"/>
        <family val="3"/>
      </rPr>
      <t>) =</t>
    </r>
  </si>
  <si>
    <r>
      <t>Your choice for Maximum duty ratio (D</t>
    </r>
    <r>
      <rPr>
        <vertAlign val="sub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 =</t>
    </r>
  </si>
  <si>
    <t>kHz</t>
  </si>
  <si>
    <t>u</t>
  </si>
  <si>
    <t>k</t>
  </si>
  <si>
    <t>m</t>
  </si>
  <si>
    <t>Component</t>
  </si>
  <si>
    <t>Value</t>
  </si>
  <si>
    <t>Unit</t>
  </si>
  <si>
    <t>Remark</t>
  </si>
  <si>
    <r>
      <t>m</t>
    </r>
    <r>
      <rPr>
        <sz val="11"/>
        <rFont val="Times New Roman"/>
        <family val="1"/>
      </rPr>
      <t>F</t>
    </r>
  </si>
  <si>
    <t>Minimum value</t>
  </si>
  <si>
    <r>
      <t>k</t>
    </r>
    <r>
      <rPr>
        <sz val="11"/>
        <rFont val="Symbol"/>
        <family val="1"/>
      </rPr>
      <t>W</t>
    </r>
  </si>
  <si>
    <r>
      <t>C</t>
    </r>
    <r>
      <rPr>
        <i/>
        <vertAlign val="subscript"/>
        <sz val="12"/>
        <rFont val="Times New Roman"/>
        <family val="1"/>
      </rPr>
      <t>DC</t>
    </r>
  </si>
  <si>
    <r>
      <t>R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</si>
  <si>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SN</t>
    </r>
  </si>
  <si>
    <r>
      <t>D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</si>
  <si>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B</t>
    </r>
  </si>
  <si>
    <r>
      <t>R</t>
    </r>
    <r>
      <rPr>
        <i/>
        <vertAlign val="subscript"/>
        <sz val="12"/>
        <rFont val="Times New Roman"/>
        <family val="1"/>
      </rPr>
      <t>a</t>
    </r>
  </si>
  <si>
    <r>
      <t>C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</si>
  <si>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</si>
  <si>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R1</t>
    </r>
  </si>
  <si>
    <r>
      <t>D</t>
    </r>
    <r>
      <rPr>
        <i/>
        <vertAlign val="subscript"/>
        <sz val="12"/>
        <rFont val="Times New Roman"/>
        <family val="1"/>
      </rPr>
      <t>R2</t>
    </r>
  </si>
  <si>
    <r>
      <t>C</t>
    </r>
    <r>
      <rPr>
        <i/>
        <vertAlign val="subscript"/>
        <sz val="12"/>
        <rFont val="Times New Roman"/>
        <family val="1"/>
      </rPr>
      <t>O1</t>
    </r>
  </si>
  <si>
    <r>
      <t>C</t>
    </r>
    <r>
      <rPr>
        <i/>
        <vertAlign val="subscript"/>
        <sz val="12"/>
        <rFont val="Times New Roman"/>
        <family val="1"/>
      </rPr>
      <t>O2</t>
    </r>
  </si>
  <si>
    <r>
      <t>R</t>
    </r>
    <r>
      <rPr>
        <i/>
        <vertAlign val="subscript"/>
        <sz val="12"/>
        <rFont val="Times New Roman"/>
        <family val="1"/>
      </rPr>
      <t>d</t>
    </r>
  </si>
  <si>
    <r>
      <t>R</t>
    </r>
    <r>
      <rPr>
        <i/>
        <vertAlign val="subscript"/>
        <sz val="12"/>
        <rFont val="Times New Roman"/>
        <family val="1"/>
      </rPr>
      <t>bias</t>
    </r>
  </si>
  <si>
    <r>
      <t>R</t>
    </r>
    <r>
      <rPr>
        <i/>
        <vertAlign val="subscript"/>
        <sz val="12"/>
        <rFont val="Times New Roman"/>
        <family val="1"/>
      </rPr>
      <t>1</t>
    </r>
  </si>
  <si>
    <r>
      <t>R</t>
    </r>
    <r>
      <rPr>
        <i/>
        <vertAlign val="subscript"/>
        <sz val="12"/>
        <rFont val="Times New Roman"/>
        <family val="1"/>
      </rPr>
      <t>2</t>
    </r>
  </si>
  <si>
    <r>
      <t>R</t>
    </r>
    <r>
      <rPr>
        <i/>
        <vertAlign val="subscript"/>
        <sz val="12"/>
        <rFont val="Times New Roman"/>
        <family val="1"/>
      </rPr>
      <t>F</t>
    </r>
  </si>
  <si>
    <r>
      <t>C</t>
    </r>
    <r>
      <rPr>
        <i/>
        <vertAlign val="subscript"/>
        <sz val="12"/>
        <rFont val="Times New Roman"/>
        <family val="1"/>
      </rPr>
      <t>F</t>
    </r>
  </si>
  <si>
    <r>
      <t>D</t>
    </r>
    <r>
      <rPr>
        <i/>
        <vertAlign val="subscript"/>
        <sz val="12"/>
        <rFont val="Times New Roman"/>
        <family val="1"/>
      </rPr>
      <t>R3</t>
    </r>
  </si>
  <si>
    <r>
      <t>D</t>
    </r>
    <r>
      <rPr>
        <i/>
        <vertAlign val="subscript"/>
        <sz val="12"/>
        <rFont val="Times New Roman"/>
        <family val="1"/>
      </rPr>
      <t>R4</t>
    </r>
  </si>
  <si>
    <r>
      <t>C</t>
    </r>
    <r>
      <rPr>
        <i/>
        <vertAlign val="subscript"/>
        <sz val="12"/>
        <rFont val="Times New Roman"/>
        <family val="1"/>
      </rPr>
      <t>O3</t>
    </r>
  </si>
  <si>
    <r>
      <t>C</t>
    </r>
    <r>
      <rPr>
        <i/>
        <vertAlign val="subscript"/>
        <sz val="12"/>
        <rFont val="Times New Roman"/>
        <family val="1"/>
      </rPr>
      <t>O4</t>
    </r>
  </si>
  <si>
    <t>W</t>
  </si>
  <si>
    <t>nF</t>
  </si>
  <si>
    <t>1~10</t>
  </si>
  <si>
    <t>47~100</t>
  </si>
  <si>
    <t>UF series or 1N series</t>
  </si>
  <si>
    <t>Value</t>
  </si>
  <si>
    <t>Caution!!!!!</t>
  </si>
  <si>
    <t xml:space="preserve">Above transformer schematic is displayed only for example. </t>
  </si>
  <si>
    <t>To make a real transformer, special care is needed to fix the winding direction.</t>
  </si>
  <si>
    <t>Inductance</t>
  </si>
  <si>
    <r>
      <t>m</t>
    </r>
    <r>
      <rPr>
        <sz val="11"/>
        <rFont val="Times New Roman"/>
        <family val="1"/>
      </rPr>
      <t>H</t>
    </r>
  </si>
  <si>
    <t>Np</t>
  </si>
  <si>
    <t>Turns</t>
  </si>
  <si>
    <t>Np_winding diameter</t>
  </si>
  <si>
    <r>
      <t>mm</t>
    </r>
    <r>
      <rPr>
        <vertAlign val="superscript"/>
        <sz val="11"/>
        <rFont val="Times New Roman"/>
        <family val="1"/>
      </rPr>
      <t>2</t>
    </r>
  </si>
  <si>
    <t>Np_winding strands</t>
  </si>
  <si>
    <t>Na</t>
  </si>
  <si>
    <t>Na_winding diameter</t>
  </si>
  <si>
    <t>Na_winding strands</t>
  </si>
  <si>
    <r>
      <t>N</t>
    </r>
    <r>
      <rPr>
        <i/>
        <vertAlign val="subscript"/>
        <sz val="12"/>
        <rFont val="Times New Roman"/>
        <family val="1"/>
      </rPr>
      <t>R1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</si>
  <si>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</si>
  <si>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</si>
  <si>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R2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</si>
  <si>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</si>
  <si>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</si>
  <si>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R3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</si>
  <si>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</si>
  <si>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</si>
  <si>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R4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</si>
  <si>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</si>
  <si>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</si>
  <si>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R5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</si>
  <si>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</si>
  <si>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</si>
  <si>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R6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</si>
  <si>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</si>
  <si>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strands</t>
    </r>
  </si>
  <si>
    <r>
      <t>D</t>
    </r>
    <r>
      <rPr>
        <i/>
        <vertAlign val="subscript"/>
        <sz val="12"/>
        <rFont val="Times New Roman"/>
        <family val="1"/>
      </rPr>
      <t>R5</t>
    </r>
  </si>
  <si>
    <r>
      <t>D</t>
    </r>
    <r>
      <rPr>
        <i/>
        <vertAlign val="subscript"/>
        <sz val="12"/>
        <rFont val="Times New Roman"/>
        <family val="1"/>
      </rPr>
      <t>R6</t>
    </r>
  </si>
  <si>
    <r>
      <t>C</t>
    </r>
    <r>
      <rPr>
        <i/>
        <vertAlign val="subscript"/>
        <sz val="12"/>
        <rFont val="Times New Roman"/>
        <family val="1"/>
      </rPr>
      <t>O5</t>
    </r>
  </si>
  <si>
    <r>
      <t>C</t>
    </r>
    <r>
      <rPr>
        <i/>
        <vertAlign val="subscript"/>
        <sz val="12"/>
        <rFont val="Times New Roman"/>
        <family val="1"/>
      </rPr>
      <t>O6</t>
    </r>
  </si>
  <si>
    <r>
      <t>Upper resistor for valley detection (R</t>
    </r>
    <r>
      <rPr>
        <vertAlign val="subscript"/>
        <sz val="11"/>
        <color indexed="12"/>
        <rFont val="돋움"/>
        <family val="3"/>
      </rPr>
      <t>sy1</t>
    </r>
    <r>
      <rPr>
        <sz val="11"/>
        <color indexed="12"/>
        <rFont val="돋움"/>
        <family val="3"/>
      </rPr>
      <t>)</t>
    </r>
  </si>
  <si>
    <r>
      <t>Minimum lower resistor (R</t>
    </r>
    <r>
      <rPr>
        <b/>
        <vertAlign val="subscript"/>
        <sz val="11"/>
        <color indexed="60"/>
        <rFont val="돋움"/>
        <family val="3"/>
      </rPr>
      <t>sy2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</t>
    </r>
  </si>
  <si>
    <t>nsec</t>
  </si>
  <si>
    <t>13. Determine valley detection network</t>
  </si>
  <si>
    <r>
      <t>R</t>
    </r>
    <r>
      <rPr>
        <i/>
        <vertAlign val="subscript"/>
        <sz val="12"/>
        <rFont val="Times New Roman"/>
        <family val="1"/>
      </rPr>
      <t>sy1</t>
    </r>
  </si>
  <si>
    <r>
      <t>Choice of lower resistor (R</t>
    </r>
    <r>
      <rPr>
        <vertAlign val="subscript"/>
        <sz val="11"/>
        <color indexed="12"/>
        <rFont val="돋움"/>
        <family val="3"/>
      </rPr>
      <t>sy2</t>
    </r>
    <r>
      <rPr>
        <sz val="11"/>
        <color indexed="12"/>
        <rFont val="돋움"/>
        <family val="3"/>
      </rPr>
      <t>)</t>
    </r>
  </si>
  <si>
    <r>
      <t>Maximum lower resistor (R</t>
    </r>
    <r>
      <rPr>
        <b/>
        <vertAlign val="subscript"/>
        <sz val="11"/>
        <color indexed="60"/>
        <rFont val="돋움"/>
        <family val="3"/>
      </rPr>
      <t>sy2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</t>
    </r>
  </si>
  <si>
    <r>
      <t>R</t>
    </r>
    <r>
      <rPr>
        <i/>
        <vertAlign val="subscript"/>
        <sz val="12"/>
        <rFont val="Times New Roman"/>
        <family val="1"/>
      </rPr>
      <t>sy2</t>
    </r>
  </si>
  <si>
    <r>
      <t>A (I</t>
    </r>
    <r>
      <rPr>
        <vertAlign val="subscript"/>
        <sz val="11"/>
        <rFont val="Times New Roman"/>
        <family val="1"/>
      </rPr>
      <t>RMS</t>
    </r>
    <r>
      <rPr>
        <sz val="11"/>
        <rFont val="Times New Roman"/>
        <family val="1"/>
      </rPr>
      <t>)</t>
    </r>
  </si>
  <si>
    <r>
      <t>Measured resonant period (T</t>
    </r>
    <r>
      <rPr>
        <vertAlign val="subscript"/>
        <sz val="11"/>
        <color indexed="12"/>
        <rFont val="돋움"/>
        <family val="3"/>
      </rPr>
      <t>R</t>
    </r>
    <r>
      <rPr>
        <sz val="11"/>
        <color indexed="12"/>
        <rFont val="돋움"/>
        <family val="3"/>
      </rPr>
      <t>)</t>
    </r>
  </si>
  <si>
    <t>QRC Design Assistant  ver.1.00</t>
  </si>
  <si>
    <r>
      <t>T</t>
    </r>
    <r>
      <rPr>
        <b/>
        <vertAlign val="subscript"/>
        <sz val="11"/>
        <color indexed="10"/>
        <rFont val="Arial"/>
        <family val="2"/>
      </rPr>
      <t>R</t>
    </r>
    <r>
      <rPr>
        <b/>
        <sz val="11"/>
        <color indexed="10"/>
        <rFont val="Arial"/>
        <family val="2"/>
      </rPr>
      <t xml:space="preserve"> &lt; 920nsec, recommended R</t>
    </r>
    <r>
      <rPr>
        <b/>
        <vertAlign val="subscript"/>
        <sz val="11"/>
        <color indexed="10"/>
        <rFont val="Arial"/>
        <family val="2"/>
      </rPr>
      <t>sy1</t>
    </r>
    <r>
      <rPr>
        <b/>
        <sz val="11"/>
        <color indexed="10"/>
        <rFont val="Arial"/>
        <family val="2"/>
      </rPr>
      <t xml:space="preserve"> is about 5 k</t>
    </r>
    <r>
      <rPr>
        <b/>
        <sz val="11"/>
        <color indexed="10"/>
        <rFont val="Symbol"/>
        <family val="1"/>
      </rPr>
      <t>W</t>
    </r>
    <r>
      <rPr>
        <b/>
        <sz val="11"/>
        <color indexed="10"/>
        <rFont val="Arial"/>
        <family val="2"/>
      </rPr>
      <t>~10 k</t>
    </r>
    <r>
      <rPr>
        <b/>
        <sz val="11"/>
        <color indexed="10"/>
        <rFont val="Symbol"/>
        <family val="1"/>
      </rPr>
      <t>W.</t>
    </r>
    <r>
      <rPr>
        <b/>
        <sz val="11"/>
        <color indexed="10"/>
        <rFont val="Arial"/>
        <family val="2"/>
      </rPr>
      <t xml:space="preserve"> 
920nsec &lt;= T</t>
    </r>
    <r>
      <rPr>
        <b/>
        <vertAlign val="subscript"/>
        <sz val="11"/>
        <color indexed="10"/>
        <rFont val="Arial"/>
        <family val="2"/>
      </rPr>
      <t>R</t>
    </r>
    <r>
      <rPr>
        <b/>
        <sz val="11"/>
        <color indexed="10"/>
        <rFont val="Arial"/>
        <family val="2"/>
      </rPr>
      <t xml:space="preserve"> &lt; 1000nsec, recommended R</t>
    </r>
    <r>
      <rPr>
        <b/>
        <vertAlign val="subscript"/>
        <sz val="11"/>
        <color indexed="10"/>
        <rFont val="Arial"/>
        <family val="2"/>
      </rPr>
      <t>sy1</t>
    </r>
    <r>
      <rPr>
        <b/>
        <sz val="11"/>
        <color indexed="10"/>
        <rFont val="Arial"/>
        <family val="2"/>
      </rPr>
      <t xml:space="preserve"> is about 10 k</t>
    </r>
    <r>
      <rPr>
        <b/>
        <sz val="11"/>
        <color indexed="10"/>
        <rFont val="Symbol"/>
        <family val="1"/>
      </rPr>
      <t>W</t>
    </r>
    <r>
      <rPr>
        <b/>
        <sz val="11"/>
        <color indexed="10"/>
        <rFont val="Arial"/>
        <family val="2"/>
      </rPr>
      <t>~20 k</t>
    </r>
    <r>
      <rPr>
        <b/>
        <sz val="11"/>
        <color indexed="10"/>
        <rFont val="Symbol"/>
        <family val="1"/>
      </rPr>
      <t>W.</t>
    </r>
    <r>
      <rPr>
        <b/>
        <sz val="11"/>
        <color indexed="10"/>
        <rFont val="Arial"/>
        <family val="2"/>
      </rPr>
      <t xml:space="preserve">
1000nsec &lt;= T</t>
    </r>
    <r>
      <rPr>
        <b/>
        <vertAlign val="subscript"/>
        <sz val="11"/>
        <color indexed="10"/>
        <rFont val="Arial"/>
        <family val="2"/>
      </rPr>
      <t>R</t>
    </r>
    <r>
      <rPr>
        <b/>
        <sz val="11"/>
        <color indexed="10"/>
        <rFont val="Arial"/>
        <family val="2"/>
      </rPr>
      <t>, recommended R</t>
    </r>
    <r>
      <rPr>
        <b/>
        <vertAlign val="subscript"/>
        <sz val="11"/>
        <color indexed="10"/>
        <rFont val="Arial"/>
        <family val="2"/>
      </rPr>
      <t>sy1</t>
    </r>
    <r>
      <rPr>
        <b/>
        <sz val="11"/>
        <color indexed="10"/>
        <rFont val="Arial"/>
        <family val="2"/>
      </rPr>
      <t xml:space="preserve"> is 20 k</t>
    </r>
    <r>
      <rPr>
        <b/>
        <sz val="11"/>
        <color indexed="10"/>
        <rFont val="Symbol"/>
        <family val="1"/>
      </rPr>
      <t>W</t>
    </r>
    <r>
      <rPr>
        <b/>
        <sz val="11"/>
        <color indexed="10"/>
        <rFont val="Arial"/>
        <family val="2"/>
      </rPr>
      <t>~100 k</t>
    </r>
    <r>
      <rPr>
        <b/>
        <sz val="11"/>
        <color indexed="10"/>
        <rFont val="Symbol"/>
        <family val="1"/>
      </rPr>
      <t>W.</t>
    </r>
    <r>
      <rPr>
        <b/>
        <sz val="11"/>
        <color indexed="10"/>
        <rFont val="Arial"/>
        <family val="2"/>
      </rPr>
      <t xml:space="preserve"> </t>
    </r>
  </si>
  <si>
    <r>
      <t>Calculation of C</t>
    </r>
    <r>
      <rPr>
        <b/>
        <vertAlign val="subscript"/>
        <sz val="11"/>
        <color indexed="60"/>
        <rFont val="돋움"/>
        <family val="3"/>
      </rPr>
      <t>sy</t>
    </r>
    <r>
      <rPr>
        <b/>
        <sz val="11"/>
        <color indexed="60"/>
        <rFont val="돋움"/>
        <family val="3"/>
      </rPr>
      <t xml:space="preserve"> with considering C</t>
    </r>
    <r>
      <rPr>
        <b/>
        <vertAlign val="subscript"/>
        <sz val="11"/>
        <color indexed="60"/>
        <rFont val="돋움"/>
        <family val="3"/>
      </rPr>
      <t>in</t>
    </r>
    <r>
      <rPr>
        <b/>
        <vertAlign val="superscript"/>
        <sz val="11"/>
        <color indexed="60"/>
        <rFont val="돋움"/>
        <family val="3"/>
      </rPr>
      <t>parasitic</t>
    </r>
  </si>
  <si>
    <t>pF</t>
  </si>
  <si>
    <r>
      <t>If calculated C</t>
    </r>
    <r>
      <rPr>
        <b/>
        <vertAlign val="subscript"/>
        <sz val="11"/>
        <color indexed="10"/>
        <rFont val="Arial"/>
        <family val="2"/>
      </rPr>
      <t>sy</t>
    </r>
    <r>
      <rPr>
        <b/>
        <sz val="11"/>
        <color indexed="10"/>
        <rFont val="Arial"/>
        <family val="2"/>
      </rPr>
      <t xml:space="preserve"> is below 5pF, eliminating C</t>
    </r>
    <r>
      <rPr>
        <b/>
        <vertAlign val="subscript"/>
        <sz val="11"/>
        <color indexed="10"/>
        <rFont val="Arial"/>
        <family val="2"/>
      </rPr>
      <t>sy</t>
    </r>
    <r>
      <rPr>
        <b/>
        <sz val="11"/>
        <color indexed="10"/>
        <rFont val="Arial"/>
        <family val="2"/>
      </rPr>
      <t xml:space="preserve"> is O.K</t>
    </r>
  </si>
  <si>
    <r>
      <t>C</t>
    </r>
    <r>
      <rPr>
        <i/>
        <vertAlign val="subscript"/>
        <sz val="12"/>
        <rFont val="Times New Roman"/>
        <family val="1"/>
      </rPr>
      <t>sy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</si>
</sst>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  <numFmt numFmtId="178" formatCode="0.00_ "/>
    <numFmt numFmtId="179" formatCode="#,##0_ "/>
    <numFmt numFmtId="180" formatCode="0.0_);[Red]\(0.0\)"/>
    <numFmt numFmtId="181" formatCode="_ * #,##0_ ;_ * \-#,##0_ ;_ * &quot;-&quot;_ ;_ @_ "/>
    <numFmt numFmtId="182" formatCode="_ * #,##0.00_ ;_ * \-#,##0.00_ ;_ * &quot;-&quot;??_ ;_ @_ "/>
    <numFmt numFmtId="183" formatCode="0.0"/>
    <numFmt numFmtId="184" formatCode="000\-0000"/>
    <numFmt numFmtId="185" formatCode="0_);[Red]\(0\)"/>
    <numFmt numFmtId="186" formatCode="[$-412]AM/PM\ h:mm:ss"/>
    <numFmt numFmtId="187" formatCode="0.000_ "/>
    <numFmt numFmtId="188" formatCode="0.0000_ "/>
  </numFmts>
  <fonts count="117">
    <font>
      <sz val="11"/>
      <name val="돋움"/>
      <family val="3"/>
    </font>
    <font>
      <sz val="8"/>
      <name val="돋움"/>
      <family val="3"/>
    </font>
    <font>
      <u val="single"/>
      <sz val="11"/>
      <name val="돋움"/>
      <family val="3"/>
    </font>
    <font>
      <b/>
      <sz val="11"/>
      <name val="돋움"/>
      <family val="3"/>
    </font>
    <font>
      <b/>
      <sz val="11"/>
      <color indexed="60"/>
      <name val="돋움"/>
      <family val="3"/>
    </font>
    <font>
      <b/>
      <u val="single"/>
      <sz val="11"/>
      <color indexed="60"/>
      <name val="돋움"/>
      <family val="3"/>
    </font>
    <font>
      <sz val="11"/>
      <color indexed="8"/>
      <name val="돋움"/>
      <family val="3"/>
    </font>
    <font>
      <u val="single"/>
      <sz val="11"/>
      <color indexed="12"/>
      <name val="돋움"/>
      <family val="3"/>
    </font>
    <font>
      <sz val="11"/>
      <color indexed="12"/>
      <name val="돋움"/>
      <family val="3"/>
    </font>
    <font>
      <vertAlign val="superscript"/>
      <sz val="11"/>
      <color indexed="12"/>
      <name val="돋움"/>
      <family val="3"/>
    </font>
    <font>
      <b/>
      <vertAlign val="superscript"/>
      <sz val="11"/>
      <color indexed="60"/>
      <name val="돋움"/>
      <family val="3"/>
    </font>
    <font>
      <u val="single"/>
      <sz val="11"/>
      <color indexed="36"/>
      <name val="돋움"/>
      <family val="3"/>
    </font>
    <font>
      <b/>
      <sz val="11"/>
      <color indexed="9"/>
      <name val="돋움"/>
      <family val="3"/>
    </font>
    <font>
      <b/>
      <sz val="9"/>
      <name val="굴림"/>
      <family val="3"/>
    </font>
    <font>
      <b/>
      <i/>
      <sz val="14"/>
      <name val="Times New Roman"/>
      <family val="1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b/>
      <sz val="11"/>
      <color indexed="12"/>
      <name val="돋움"/>
      <family val="3"/>
    </font>
    <font>
      <b/>
      <vertAlign val="superscript"/>
      <sz val="11"/>
      <color indexed="12"/>
      <name val="돋움"/>
      <family val="3"/>
    </font>
    <font>
      <b/>
      <sz val="11"/>
      <color indexed="8"/>
      <name val="돋움"/>
      <family val="3"/>
    </font>
    <font>
      <vertAlign val="superscript"/>
      <sz val="11"/>
      <name val="돋움"/>
      <family val="3"/>
    </font>
    <font>
      <sz val="11"/>
      <color indexed="9"/>
      <name val="돋움"/>
      <family val="3"/>
    </font>
    <font>
      <b/>
      <u val="single"/>
      <sz val="11"/>
      <color indexed="8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i/>
      <sz val="10"/>
      <name val="Arial"/>
      <family val="2"/>
    </font>
    <font>
      <sz val="10"/>
      <name val="돋움"/>
      <family val="3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i/>
      <sz val="11"/>
      <name val="Arial"/>
      <family val="2"/>
    </font>
    <font>
      <sz val="10"/>
      <name val="Courier"/>
      <family val="3"/>
    </font>
    <font>
      <sz val="8"/>
      <name val="바탕"/>
      <family val="1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sz val="11"/>
      <color indexed="23"/>
      <name val="돋움"/>
      <family val="3"/>
    </font>
    <font>
      <sz val="11"/>
      <color indexed="23"/>
      <name val="Arial"/>
      <family val="2"/>
    </font>
    <font>
      <b/>
      <u val="single"/>
      <sz val="11"/>
      <name val="돋움"/>
      <family val="3"/>
    </font>
    <font>
      <b/>
      <u val="single"/>
      <sz val="11"/>
      <color indexed="12"/>
      <name val="돋움"/>
      <family val="3"/>
    </font>
    <font>
      <b/>
      <u val="single"/>
      <sz val="11"/>
      <color indexed="61"/>
      <name val="돋움"/>
      <family val="3"/>
    </font>
    <font>
      <vertAlign val="subscript"/>
      <sz val="11"/>
      <color indexed="12"/>
      <name val="돋움"/>
      <family val="3"/>
    </font>
    <font>
      <b/>
      <vertAlign val="subscript"/>
      <sz val="11"/>
      <color indexed="60"/>
      <name val="돋움"/>
      <family val="3"/>
    </font>
    <font>
      <b/>
      <u val="single"/>
      <vertAlign val="subscript"/>
      <sz val="11"/>
      <color indexed="60"/>
      <name val="돋움"/>
      <family val="3"/>
    </font>
    <font>
      <b/>
      <vertAlign val="subscript"/>
      <sz val="11"/>
      <color indexed="9"/>
      <name val="돋움"/>
      <family val="3"/>
    </font>
    <font>
      <b/>
      <vertAlign val="superscript"/>
      <sz val="11"/>
      <color indexed="9"/>
      <name val="돋움"/>
      <family val="3"/>
    </font>
    <font>
      <b/>
      <vertAlign val="superscript"/>
      <sz val="11"/>
      <color indexed="8"/>
      <name val="돋움"/>
      <family val="3"/>
    </font>
    <font>
      <b/>
      <vertAlign val="subscript"/>
      <sz val="11"/>
      <color indexed="8"/>
      <name val="돋움"/>
      <family val="3"/>
    </font>
    <font>
      <b/>
      <sz val="11"/>
      <color indexed="16"/>
      <name val="돋움"/>
      <family val="3"/>
    </font>
    <font>
      <b/>
      <vertAlign val="subscript"/>
      <sz val="11"/>
      <color indexed="16"/>
      <name val="돋움"/>
      <family val="3"/>
    </font>
    <font>
      <sz val="11"/>
      <color indexed="12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Symbol"/>
      <family val="1"/>
    </font>
    <font>
      <sz val="11"/>
      <name val="Times New Roman"/>
      <family val="1"/>
    </font>
    <font>
      <i/>
      <vertAlign val="subscript"/>
      <sz val="12"/>
      <name val="Times New Roman"/>
      <family val="1"/>
    </font>
    <font>
      <vertAlign val="subscript"/>
      <sz val="11"/>
      <name val="Times New Roman"/>
      <family val="1"/>
    </font>
    <font>
      <b/>
      <sz val="12"/>
      <color indexed="10"/>
      <name val="Times New Roman"/>
      <family val="1"/>
    </font>
    <font>
      <vertAlign val="superscript"/>
      <sz val="11"/>
      <name val="Times New Roman"/>
      <family val="1"/>
    </font>
    <font>
      <b/>
      <sz val="11"/>
      <color indexed="10"/>
      <name val="Symbol"/>
      <family val="1"/>
    </font>
    <font>
      <b/>
      <sz val="11"/>
      <color indexed="10"/>
      <name val="Arial"/>
      <family val="2"/>
    </font>
    <font>
      <b/>
      <vertAlign val="subscript"/>
      <sz val="11"/>
      <color indexed="10"/>
      <name val="Arial"/>
      <family val="2"/>
    </font>
    <font>
      <b/>
      <sz val="18"/>
      <color indexed="56"/>
      <name val="Cambria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sz val="11"/>
      <color indexed="17"/>
      <name val="Calibri"/>
      <family val="3"/>
    </font>
    <font>
      <sz val="11"/>
      <color indexed="20"/>
      <name val="Calibri"/>
      <family val="3"/>
    </font>
    <font>
      <sz val="11"/>
      <color indexed="60"/>
      <name val="Calibri"/>
      <family val="3"/>
    </font>
    <font>
      <sz val="11"/>
      <color indexed="62"/>
      <name val="Calibri"/>
      <family val="3"/>
    </font>
    <font>
      <b/>
      <sz val="11"/>
      <color indexed="63"/>
      <name val="Calibri"/>
      <family val="3"/>
    </font>
    <font>
      <b/>
      <sz val="11"/>
      <color indexed="52"/>
      <name val="Calibri"/>
      <family val="3"/>
    </font>
    <font>
      <sz val="11"/>
      <color indexed="52"/>
      <name val="Calibri"/>
      <family val="3"/>
    </font>
    <font>
      <b/>
      <sz val="11"/>
      <color indexed="9"/>
      <name val="Calibri"/>
      <family val="3"/>
    </font>
    <font>
      <sz val="11"/>
      <color indexed="10"/>
      <name val="Calibri"/>
      <family val="3"/>
    </font>
    <font>
      <i/>
      <sz val="11"/>
      <color indexed="23"/>
      <name val="Calibri"/>
      <family val="3"/>
    </font>
    <font>
      <b/>
      <sz val="11"/>
      <color indexed="8"/>
      <name val="Calibri"/>
      <family val="3"/>
    </font>
    <font>
      <sz val="11"/>
      <color indexed="9"/>
      <name val="Calibri"/>
      <family val="3"/>
    </font>
    <font>
      <sz val="11"/>
      <color indexed="8"/>
      <name val="Calibri"/>
      <family val="3"/>
    </font>
    <font>
      <sz val="9"/>
      <color indexed="8"/>
      <name val="돋움"/>
      <family val="0"/>
    </font>
    <font>
      <sz val="9.75"/>
      <color indexed="8"/>
      <name val="돋움"/>
      <family val="0"/>
    </font>
    <font>
      <sz val="9.2"/>
      <color indexed="8"/>
      <name val="돋움"/>
      <family val="0"/>
    </font>
    <font>
      <sz val="8.25"/>
      <color indexed="8"/>
      <name val="돋움"/>
      <family val="0"/>
    </font>
    <font>
      <sz val="10"/>
      <color indexed="13"/>
      <name val="Times New Roman"/>
      <family val="0"/>
    </font>
    <font>
      <i/>
      <sz val="10"/>
      <color indexed="13"/>
      <name val="Times New Roman"/>
      <family val="0"/>
    </font>
    <font>
      <vertAlign val="superscript"/>
      <sz val="10"/>
      <color indexed="13"/>
      <name val="Times New Roman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b/>
      <sz val="8"/>
      <name val="돋움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1" fillId="26" borderId="0" applyNumberFormat="0" applyBorder="0" applyAlignment="0" applyProtection="0"/>
    <xf numFmtId="0" fontId="102" fillId="27" borderId="1" applyNumberFormat="0" applyAlignment="0" applyProtection="0"/>
    <xf numFmtId="0" fontId="27" fillId="0" borderId="0">
      <alignment/>
      <protection/>
    </xf>
    <xf numFmtId="0" fontId="10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5" fillId="29" borderId="0" applyNumberFormat="0" applyBorder="0" applyAlignment="0" applyProtection="0"/>
    <xf numFmtId="38" fontId="25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0" fontId="106" fillId="0" borderId="5" applyNumberFormat="0" applyFill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9" fillId="31" borderId="1" applyNumberFormat="0" applyAlignment="0" applyProtection="0"/>
    <xf numFmtId="10" fontId="25" fillId="30" borderId="8" applyNumberFormat="0" applyBorder="0" applyAlignment="0" applyProtection="0"/>
    <xf numFmtId="0" fontId="110" fillId="0" borderId="9" applyNumberFormat="0" applyFill="0" applyAlignment="0" applyProtection="0"/>
    <xf numFmtId="0" fontId="30" fillId="0" borderId="10">
      <alignment/>
      <protection/>
    </xf>
    <xf numFmtId="0" fontId="111" fillId="32" borderId="0" applyNumberFormat="0" applyBorder="0" applyAlignment="0" applyProtection="0"/>
    <xf numFmtId="184" fontId="0" fillId="0" borderId="0">
      <alignment/>
      <protection/>
    </xf>
    <xf numFmtId="0" fontId="0" fillId="33" borderId="11" applyNumberFormat="0" applyFont="0" applyAlignment="0" applyProtection="0"/>
    <xf numFmtId="0" fontId="112" fillId="27" borderId="12" applyNumberFormat="0" applyAlignment="0" applyProtection="0"/>
    <xf numFmtId="9" fontId="0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34" borderId="0" applyNumberFormat="0" applyFont="0" applyBorder="0" applyAlignment="0" applyProtection="0"/>
    <xf numFmtId="0" fontId="30" fillId="0" borderId="0">
      <alignment/>
      <protection/>
    </xf>
    <xf numFmtId="0" fontId="113" fillId="0" borderId="0" applyNumberFormat="0" applyFill="0" applyBorder="0" applyAlignment="0" applyProtection="0"/>
    <xf numFmtId="0" fontId="114" fillId="0" borderId="13" applyNumberFormat="0" applyFill="0" applyAlignment="0" applyProtection="0"/>
    <xf numFmtId="0" fontId="115" fillId="0" borderId="0" applyNumberFormat="0" applyFill="0" applyBorder="0" applyAlignment="0" applyProtection="0"/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5" fillId="0" borderId="0">
      <alignment/>
      <protection/>
    </xf>
  </cellStyleXfs>
  <cellXfs count="417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24" fillId="30" borderId="0" xfId="0" applyFont="1" applyFill="1" applyAlignment="1">
      <alignment vertical="center"/>
    </xf>
    <xf numFmtId="0" fontId="24" fillId="36" borderId="14" xfId="0" applyFont="1" applyFill="1" applyBorder="1" applyAlignment="1">
      <alignment horizontal="center" vertical="center" wrapText="1"/>
    </xf>
    <xf numFmtId="0" fontId="34" fillId="30" borderId="15" xfId="0" applyFont="1" applyFill="1" applyBorder="1" applyAlignment="1">
      <alignment horizontal="left" vertical="center"/>
    </xf>
    <xf numFmtId="0" fontId="34" fillId="30" borderId="16" xfId="0" applyFont="1" applyFill="1" applyBorder="1" applyAlignment="1">
      <alignment horizontal="left" vertical="center"/>
    </xf>
    <xf numFmtId="0" fontId="26" fillId="30" borderId="0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center" vertical="center"/>
    </xf>
    <xf numFmtId="0" fontId="26" fillId="30" borderId="0" xfId="0" applyFont="1" applyFill="1" applyAlignment="1">
      <alignment vertical="center"/>
    </xf>
    <xf numFmtId="0" fontId="46" fillId="36" borderId="17" xfId="0" applyFont="1" applyFill="1" applyBorder="1" applyAlignment="1">
      <alignment horizontal="left" vertical="center"/>
    </xf>
    <xf numFmtId="0" fontId="47" fillId="36" borderId="17" xfId="0" applyFont="1" applyFill="1" applyBorder="1" applyAlignment="1">
      <alignment horizontal="left" vertical="center"/>
    </xf>
    <xf numFmtId="0" fontId="46" fillId="30" borderId="17" xfId="0" applyFont="1" applyFill="1" applyBorder="1" applyAlignment="1">
      <alignment horizontal="center" vertical="center"/>
    </xf>
    <xf numFmtId="0" fontId="46" fillId="30" borderId="18" xfId="0" applyFont="1" applyFill="1" applyBorder="1" applyAlignment="1">
      <alignment horizontal="center" vertical="center"/>
    </xf>
    <xf numFmtId="183" fontId="46" fillId="30" borderId="17" xfId="0" applyNumberFormat="1" applyFont="1" applyFill="1" applyBorder="1" applyAlignment="1">
      <alignment horizontal="center" vertical="center"/>
    </xf>
    <xf numFmtId="0" fontId="46" fillId="30" borderId="19" xfId="0" applyFont="1" applyFill="1" applyBorder="1" applyAlignment="1">
      <alignment horizontal="center" vertical="center"/>
    </xf>
    <xf numFmtId="0" fontId="46" fillId="30" borderId="17" xfId="0" applyFont="1" applyFill="1" applyBorder="1" applyAlignment="1">
      <alignment horizontal="center" vertical="center" wrapText="1"/>
    </xf>
    <xf numFmtId="0" fontId="46" fillId="30" borderId="19" xfId="0" applyFont="1" applyFill="1" applyBorder="1" applyAlignment="1">
      <alignment vertical="center"/>
    </xf>
    <xf numFmtId="0" fontId="46" fillId="30" borderId="0" xfId="0" applyFont="1" applyFill="1" applyAlignment="1">
      <alignment vertical="center"/>
    </xf>
    <xf numFmtId="0" fontId="46" fillId="30" borderId="16" xfId="0" applyFont="1" applyFill="1" applyBorder="1" applyAlignment="1">
      <alignment horizontal="center" vertical="center"/>
    </xf>
    <xf numFmtId="0" fontId="46" fillId="30" borderId="14" xfId="0" applyFont="1" applyFill="1" applyBorder="1" applyAlignment="1">
      <alignment horizontal="center" vertical="center" wrapText="1"/>
    </xf>
    <xf numFmtId="0" fontId="46" fillId="30" borderId="20" xfId="0" applyFont="1" applyFill="1" applyBorder="1" applyAlignment="1">
      <alignment horizontal="center" vertical="center" wrapText="1"/>
    </xf>
    <xf numFmtId="0" fontId="46" fillId="30" borderId="21" xfId="0" applyFont="1" applyFill="1" applyBorder="1" applyAlignment="1">
      <alignment vertical="center"/>
    </xf>
    <xf numFmtId="0" fontId="46" fillId="30" borderId="14" xfId="0" applyFont="1" applyFill="1" applyBorder="1" applyAlignment="1">
      <alignment horizontal="center" vertical="center"/>
    </xf>
    <xf numFmtId="0" fontId="46" fillId="36" borderId="20" xfId="0" applyFont="1" applyFill="1" applyBorder="1" applyAlignment="1">
      <alignment horizontal="left" vertical="center"/>
    </xf>
    <xf numFmtId="0" fontId="47" fillId="36" borderId="20" xfId="0" applyFont="1" applyFill="1" applyBorder="1" applyAlignment="1">
      <alignment horizontal="left" vertical="center"/>
    </xf>
    <xf numFmtId="0" fontId="46" fillId="30" borderId="20" xfId="0" applyFont="1" applyFill="1" applyBorder="1" applyAlignment="1">
      <alignment horizontal="center" vertical="center"/>
    </xf>
    <xf numFmtId="183" fontId="46" fillId="30" borderId="20" xfId="0" applyNumberFormat="1" applyFont="1" applyFill="1" applyBorder="1" applyAlignment="1">
      <alignment horizontal="center" vertical="center"/>
    </xf>
    <xf numFmtId="0" fontId="46" fillId="36" borderId="22" xfId="0" applyFont="1" applyFill="1" applyBorder="1" applyAlignment="1">
      <alignment horizontal="left" vertical="center"/>
    </xf>
    <xf numFmtId="0" fontId="47" fillId="36" borderId="22" xfId="0" applyFont="1" applyFill="1" applyBorder="1" applyAlignment="1">
      <alignment horizontal="left" vertical="center"/>
    </xf>
    <xf numFmtId="0" fontId="46" fillId="30" borderId="22" xfId="0" applyFont="1" applyFill="1" applyBorder="1" applyAlignment="1">
      <alignment horizontal="center" vertical="center"/>
    </xf>
    <xf numFmtId="183" fontId="46" fillId="30" borderId="22" xfId="0" applyNumberFormat="1" applyFont="1" applyFill="1" applyBorder="1" applyAlignment="1">
      <alignment horizontal="center" vertical="center"/>
    </xf>
    <xf numFmtId="0" fontId="46" fillId="30" borderId="17" xfId="0" applyFont="1" applyFill="1" applyBorder="1" applyAlignment="1">
      <alignment horizontal="left" vertical="center"/>
    </xf>
    <xf numFmtId="0" fontId="46" fillId="30" borderId="14" xfId="0" applyFont="1" applyFill="1" applyBorder="1" applyAlignment="1">
      <alignment vertical="center"/>
    </xf>
    <xf numFmtId="0" fontId="46" fillId="30" borderId="21" xfId="0" applyFont="1" applyFill="1" applyBorder="1" applyAlignment="1">
      <alignment horizontal="center" vertical="center"/>
    </xf>
    <xf numFmtId="0" fontId="46" fillId="30" borderId="23" xfId="0" applyFont="1" applyFill="1" applyBorder="1" applyAlignment="1">
      <alignment horizontal="center" vertical="center"/>
    </xf>
    <xf numFmtId="0" fontId="46" fillId="30" borderId="22" xfId="0" applyFont="1" applyFill="1" applyBorder="1" applyAlignment="1">
      <alignment vertical="center"/>
    </xf>
    <xf numFmtId="0" fontId="26" fillId="30" borderId="15" xfId="0" applyFont="1" applyFill="1" applyBorder="1" applyAlignment="1">
      <alignment vertical="center"/>
    </xf>
    <xf numFmtId="0" fontId="24" fillId="30" borderId="15" xfId="0" applyFont="1" applyFill="1" applyBorder="1" applyAlignment="1">
      <alignment horizontal="center" vertical="center"/>
    </xf>
    <xf numFmtId="0" fontId="26" fillId="30" borderId="16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right" vertical="center"/>
    </xf>
    <xf numFmtId="0" fontId="46" fillId="30" borderId="17" xfId="0" applyFont="1" applyFill="1" applyBorder="1" applyAlignment="1">
      <alignment vertical="center"/>
    </xf>
    <xf numFmtId="0" fontId="46" fillId="30" borderId="20" xfId="0" applyFont="1" applyFill="1" applyBorder="1" applyAlignment="1">
      <alignment vertical="center"/>
    </xf>
    <xf numFmtId="0" fontId="46" fillId="36" borderId="14" xfId="0" applyFont="1" applyFill="1" applyBorder="1" applyAlignment="1">
      <alignment horizontal="left" vertical="center"/>
    </xf>
    <xf numFmtId="0" fontId="47" fillId="36" borderId="14" xfId="0" applyFont="1" applyFill="1" applyBorder="1" applyAlignment="1">
      <alignment horizontal="left" vertical="center"/>
    </xf>
    <xf numFmtId="0" fontId="26" fillId="30" borderId="18" xfId="0" applyFont="1" applyFill="1" applyBorder="1" applyAlignment="1">
      <alignment vertical="center"/>
    </xf>
    <xf numFmtId="0" fontId="24" fillId="30" borderId="18" xfId="0" applyFont="1" applyFill="1" applyBorder="1" applyAlignment="1">
      <alignment horizontal="center" vertical="center"/>
    </xf>
    <xf numFmtId="0" fontId="26" fillId="30" borderId="19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right" vertical="center"/>
    </xf>
    <xf numFmtId="0" fontId="24" fillId="36" borderId="17" xfId="0" applyFont="1" applyFill="1" applyBorder="1" applyAlignment="1">
      <alignment horizontal="left" vertical="center"/>
    </xf>
    <xf numFmtId="0" fontId="32" fillId="36" borderId="17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center" vertical="center"/>
    </xf>
    <xf numFmtId="183" fontId="24" fillId="30" borderId="17" xfId="0" applyNumberFormat="1" applyFont="1" applyFill="1" applyBorder="1" applyAlignment="1">
      <alignment horizontal="center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17" xfId="0" applyFont="1" applyFill="1" applyBorder="1" applyAlignment="1">
      <alignment horizontal="left" vertical="center" indent="1"/>
    </xf>
    <xf numFmtId="14" fontId="0" fillId="30" borderId="0" xfId="0" applyNumberFormat="1" applyFill="1" applyAlignment="1">
      <alignment/>
    </xf>
    <xf numFmtId="0" fontId="24" fillId="30" borderId="20" xfId="0" applyFont="1" applyFill="1" applyBorder="1" applyAlignment="1">
      <alignment vertical="center"/>
    </xf>
    <xf numFmtId="0" fontId="24" fillId="36" borderId="22" xfId="0" applyFont="1" applyFill="1" applyBorder="1" applyAlignment="1">
      <alignment horizontal="left" vertical="center"/>
    </xf>
    <xf numFmtId="0" fontId="32" fillId="36" borderId="22" xfId="0" applyFont="1" applyFill="1" applyBorder="1" applyAlignment="1">
      <alignment horizontal="left" vertical="center"/>
    </xf>
    <xf numFmtId="0" fontId="24" fillId="30" borderId="22" xfId="0" applyFont="1" applyFill="1" applyBorder="1" applyAlignment="1">
      <alignment horizontal="center" vertical="center"/>
    </xf>
    <xf numFmtId="183" fontId="24" fillId="30" borderId="22" xfId="0" applyNumberFormat="1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vertical="center"/>
    </xf>
    <xf numFmtId="0" fontId="24" fillId="30" borderId="17" xfId="0" applyFont="1" applyFill="1" applyBorder="1" applyAlignment="1">
      <alignment vertical="center"/>
    </xf>
    <xf numFmtId="0" fontId="24" fillId="36" borderId="20" xfId="0" applyFont="1" applyFill="1" applyBorder="1" applyAlignment="1">
      <alignment horizontal="left" vertical="center"/>
    </xf>
    <xf numFmtId="0" fontId="38" fillId="36" borderId="20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center" vertical="center"/>
    </xf>
    <xf numFmtId="0" fontId="38" fillId="36" borderId="17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left" vertical="center" indent="1"/>
    </xf>
    <xf numFmtId="0" fontId="32" fillId="36" borderId="20" xfId="0" applyFont="1" applyFill="1" applyBorder="1" applyAlignment="1">
      <alignment horizontal="left" vertical="center"/>
    </xf>
    <xf numFmtId="183" fontId="24" fillId="30" borderId="20" xfId="0" applyNumberFormat="1" applyFont="1" applyFill="1" applyBorder="1" applyAlignment="1">
      <alignment horizontal="center" vertical="center"/>
    </xf>
    <xf numFmtId="0" fontId="24" fillId="30" borderId="21" xfId="0" applyFont="1" applyFill="1" applyBorder="1" applyAlignment="1">
      <alignment horizontal="center" vertical="center"/>
    </xf>
    <xf numFmtId="14" fontId="35" fillId="30" borderId="0" xfId="0" applyNumberFormat="1" applyFont="1" applyFill="1" applyAlignment="1">
      <alignment/>
    </xf>
    <xf numFmtId="0" fontId="35" fillId="36" borderId="20" xfId="0" applyFont="1" applyFill="1" applyBorder="1" applyAlignment="1">
      <alignment horizontal="left" vertical="center"/>
    </xf>
    <xf numFmtId="0" fontId="35" fillId="30" borderId="20" xfId="0" applyFont="1" applyFill="1" applyBorder="1" applyAlignment="1">
      <alignment horizontal="center" vertical="center"/>
    </xf>
    <xf numFmtId="2" fontId="35" fillId="30" borderId="20" xfId="0" applyNumberFormat="1" applyFont="1" applyFill="1" applyBorder="1" applyAlignment="1">
      <alignment horizontal="center" vertical="center"/>
    </xf>
    <xf numFmtId="183" fontId="35" fillId="30" borderId="20" xfId="0" applyNumberFormat="1" applyFont="1" applyFill="1" applyBorder="1" applyAlignment="1">
      <alignment horizontal="center" vertical="center"/>
    </xf>
    <xf numFmtId="0" fontId="35" fillId="30" borderId="21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vertical="center"/>
    </xf>
    <xf numFmtId="0" fontId="35" fillId="30" borderId="0" xfId="0" applyFont="1" applyFill="1" applyAlignment="1">
      <alignment vertical="center"/>
    </xf>
    <xf numFmtId="0" fontId="35" fillId="36" borderId="17" xfId="0" applyFont="1" applyFill="1" applyBorder="1" applyAlignment="1">
      <alignment horizontal="left" vertical="center"/>
    </xf>
    <xf numFmtId="0" fontId="36" fillId="36" borderId="17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/>
    </xf>
    <xf numFmtId="183" fontId="35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 wrapText="1"/>
    </xf>
    <xf numFmtId="0" fontId="24" fillId="30" borderId="21" xfId="0" applyFont="1" applyFill="1" applyBorder="1" applyAlignment="1">
      <alignment horizontal="center" vertical="center" wrapText="1"/>
    </xf>
    <xf numFmtId="0" fontId="37" fillId="36" borderId="20" xfId="0" applyFont="1" applyFill="1" applyBorder="1" applyAlignment="1">
      <alignment horizontal="left" vertical="center"/>
    </xf>
    <xf numFmtId="0" fontId="37" fillId="30" borderId="20" xfId="0" applyFont="1" applyFill="1" applyBorder="1" applyAlignment="1">
      <alignment horizontal="center" vertical="center"/>
    </xf>
    <xf numFmtId="183" fontId="37" fillId="30" borderId="20" xfId="0" applyNumberFormat="1" applyFont="1" applyFill="1" applyBorder="1" applyAlignment="1">
      <alignment horizontal="center" vertical="center"/>
    </xf>
    <xf numFmtId="0" fontId="37" fillId="30" borderId="21" xfId="0" applyFont="1" applyFill="1" applyBorder="1" applyAlignment="1">
      <alignment horizontal="center" vertical="center" wrapText="1"/>
    </xf>
    <xf numFmtId="0" fontId="37" fillId="30" borderId="0" xfId="0" applyFont="1" applyFill="1" applyAlignment="1">
      <alignment vertical="center"/>
    </xf>
    <xf numFmtId="0" fontId="24" fillId="30" borderId="23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vertical="center"/>
    </xf>
    <xf numFmtId="0" fontId="24" fillId="30" borderId="24" xfId="0" applyFont="1" applyFill="1" applyBorder="1" applyAlignment="1">
      <alignment horizontal="center" vertical="center"/>
    </xf>
    <xf numFmtId="0" fontId="26" fillId="30" borderId="23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right" vertical="center"/>
    </xf>
    <xf numFmtId="176" fontId="46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/>
    </xf>
    <xf numFmtId="0" fontId="35" fillId="30" borderId="17" xfId="0" applyFont="1" applyFill="1" applyBorder="1" applyAlignment="1">
      <alignment horizontal="left" vertical="center"/>
    </xf>
    <xf numFmtId="0" fontId="35" fillId="36" borderId="22" xfId="0" applyFont="1" applyFill="1" applyBorder="1" applyAlignment="1">
      <alignment horizontal="left" vertical="center"/>
    </xf>
    <xf numFmtId="0" fontId="36" fillId="36" borderId="22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center" vertical="center"/>
    </xf>
    <xf numFmtId="176" fontId="35" fillId="30" borderId="22" xfId="0" applyNumberFormat="1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39" fillId="30" borderId="0" xfId="0" applyFont="1" applyFill="1" applyAlignment="1">
      <alignment vertical="center"/>
    </xf>
    <xf numFmtId="0" fontId="36" fillId="36" borderId="20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183" fontId="35" fillId="30" borderId="22" xfId="0" applyNumberFormat="1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35" fillId="30" borderId="25" xfId="0" applyFont="1" applyFill="1" applyBorder="1" applyAlignment="1">
      <alignment horizontal="center" vertical="center"/>
    </xf>
    <xf numFmtId="49" fontId="35" fillId="30" borderId="19" xfId="0" applyNumberFormat="1" applyFont="1" applyFill="1" applyBorder="1" applyAlignment="1">
      <alignment horizontal="center" vertical="center"/>
    </xf>
    <xf numFmtId="0" fontId="37" fillId="36" borderId="22" xfId="0" applyFont="1" applyFill="1" applyBorder="1" applyAlignment="1">
      <alignment horizontal="left" vertical="center"/>
    </xf>
    <xf numFmtId="0" fontId="38" fillId="36" borderId="22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center" vertical="center"/>
    </xf>
    <xf numFmtId="183" fontId="37" fillId="30" borderId="22" xfId="0" applyNumberFormat="1" applyFont="1" applyFill="1" applyBorder="1" applyAlignment="1">
      <alignment horizontal="center" vertical="center"/>
    </xf>
    <xf numFmtId="0" fontId="37" fillId="30" borderId="26" xfId="0" applyFont="1" applyFill="1" applyBorder="1" applyAlignment="1">
      <alignment horizontal="center" vertical="center"/>
    </xf>
    <xf numFmtId="0" fontId="37" fillId="30" borderId="23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 wrapText="1"/>
    </xf>
    <xf numFmtId="0" fontId="37" fillId="30" borderId="22" xfId="0" applyFont="1" applyFill="1" applyBorder="1" applyAlignment="1">
      <alignment horizontal="left" vertical="center"/>
    </xf>
    <xf numFmtId="14" fontId="48" fillId="30" borderId="0" xfId="0" applyNumberFormat="1" applyFont="1" applyFill="1" applyAlignment="1">
      <alignment/>
    </xf>
    <xf numFmtId="0" fontId="37" fillId="30" borderId="20" xfId="0" applyFont="1" applyFill="1" applyBorder="1" applyAlignment="1">
      <alignment horizontal="left" vertical="center"/>
    </xf>
    <xf numFmtId="0" fontId="37" fillId="36" borderId="14" xfId="0" applyFont="1" applyFill="1" applyBorder="1" applyAlignment="1">
      <alignment horizontal="left" vertical="center"/>
    </xf>
    <xf numFmtId="0" fontId="38" fillId="36" borderId="14" xfId="0" applyFont="1" applyFill="1" applyBorder="1" applyAlignment="1">
      <alignment horizontal="left" vertical="center"/>
    </xf>
    <xf numFmtId="0" fontId="37" fillId="30" borderId="14" xfId="0" applyFont="1" applyFill="1" applyBorder="1" applyAlignment="1">
      <alignment horizontal="center" vertical="center"/>
    </xf>
    <xf numFmtId="0" fontId="37" fillId="30" borderId="16" xfId="0" applyFont="1" applyFill="1" applyBorder="1" applyAlignment="1">
      <alignment horizontal="center" vertical="center"/>
    </xf>
    <xf numFmtId="0" fontId="37" fillId="30" borderId="14" xfId="0" applyFont="1" applyFill="1" applyBorder="1" applyAlignment="1">
      <alignment horizontal="center" vertical="center" wrapText="1"/>
    </xf>
    <xf numFmtId="0" fontId="37" fillId="30" borderId="14" xfId="0" applyFont="1" applyFill="1" applyBorder="1" applyAlignment="1">
      <alignment horizontal="left" vertical="center"/>
    </xf>
    <xf numFmtId="0" fontId="37" fillId="30" borderId="21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 wrapText="1"/>
    </xf>
    <xf numFmtId="0" fontId="37" fillId="36" borderId="17" xfId="0" applyFont="1" applyFill="1" applyBorder="1" applyAlignment="1">
      <alignment horizontal="left" vertical="center"/>
    </xf>
    <xf numFmtId="183" fontId="37" fillId="30" borderId="17" xfId="0" applyNumberFormat="1" applyFont="1" applyFill="1" applyBorder="1" applyAlignment="1">
      <alignment horizontal="center" vertical="center"/>
    </xf>
    <xf numFmtId="0" fontId="37" fillId="30" borderId="19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left" vertical="center"/>
    </xf>
    <xf numFmtId="0" fontId="39" fillId="30" borderId="0" xfId="0" applyFont="1" applyFill="1" applyBorder="1" applyAlignment="1">
      <alignment horizontal="left" vertical="center" indent="1"/>
    </xf>
    <xf numFmtId="0" fontId="40" fillId="30" borderId="0" xfId="0" applyFont="1" applyFill="1" applyBorder="1" applyAlignment="1">
      <alignment horizontal="left" vertical="center" indent="1"/>
    </xf>
    <xf numFmtId="0" fontId="39" fillId="30" borderId="0" xfId="0" applyFont="1" applyFill="1" applyBorder="1" applyAlignment="1">
      <alignment horizontal="center" vertical="center"/>
    </xf>
    <xf numFmtId="183" fontId="39" fillId="30" borderId="0" xfId="0" applyNumberFormat="1" applyFont="1" applyFill="1" applyBorder="1" applyAlignment="1">
      <alignment horizontal="center" vertical="center"/>
    </xf>
    <xf numFmtId="0" fontId="39" fillId="30" borderId="0" xfId="0" applyFont="1" applyFill="1" applyBorder="1" applyAlignment="1">
      <alignment horizontal="left" vertical="center"/>
    </xf>
    <xf numFmtId="0" fontId="24" fillId="30" borderId="0" xfId="0" applyFont="1" applyFill="1" applyBorder="1" applyAlignment="1">
      <alignment horizontal="center" vertical="center"/>
    </xf>
    <xf numFmtId="0" fontId="24" fillId="30" borderId="0" xfId="0" applyFont="1" applyFill="1" applyBorder="1" applyAlignment="1">
      <alignment horizontal="left" vertical="center" indent="1"/>
    </xf>
    <xf numFmtId="0" fontId="32" fillId="30" borderId="0" xfId="0" applyFont="1" applyFill="1" applyBorder="1" applyAlignment="1">
      <alignment horizontal="left" vertical="center" indent="1"/>
    </xf>
    <xf numFmtId="0" fontId="24" fillId="30" borderId="0" xfId="0" applyFont="1" applyFill="1" applyBorder="1" applyAlignment="1">
      <alignment vertical="center"/>
    </xf>
    <xf numFmtId="0" fontId="35" fillId="36" borderId="18" xfId="0" applyFont="1" applyFill="1" applyBorder="1" applyAlignment="1">
      <alignment horizontal="left" vertical="center" indent="1"/>
    </xf>
    <xf numFmtId="0" fontId="36" fillId="36" borderId="18" xfId="0" applyFont="1" applyFill="1" applyBorder="1" applyAlignment="1">
      <alignment horizontal="left" vertical="center" indent="1"/>
    </xf>
    <xf numFmtId="0" fontId="35" fillId="36" borderId="18" xfId="0" applyFont="1" applyFill="1" applyBorder="1" applyAlignment="1">
      <alignment vertical="center"/>
    </xf>
    <xf numFmtId="0" fontId="35" fillId="30" borderId="0" xfId="0" applyFont="1" applyFill="1" applyAlignment="1">
      <alignment horizontal="center" vertical="center"/>
    </xf>
    <xf numFmtId="0" fontId="35" fillId="36" borderId="0" xfId="0" applyFont="1" applyFill="1" applyBorder="1" applyAlignment="1">
      <alignment horizontal="right" vertical="center"/>
    </xf>
    <xf numFmtId="0" fontId="35" fillId="36" borderId="0" xfId="0" applyFont="1" applyFill="1" applyBorder="1" applyAlignment="1">
      <alignment horizontal="left" vertical="center" indent="1"/>
    </xf>
    <xf numFmtId="0" fontId="35" fillId="36" borderId="0" xfId="0" applyFont="1" applyFill="1" applyBorder="1" applyAlignment="1">
      <alignment vertical="center"/>
    </xf>
    <xf numFmtId="0" fontId="35" fillId="36" borderId="24" xfId="0" applyFont="1" applyFill="1" applyBorder="1" applyAlignment="1">
      <alignment horizontal="right" vertical="center"/>
    </xf>
    <xf numFmtId="0" fontId="35" fillId="36" borderId="24" xfId="0" applyFont="1" applyFill="1" applyBorder="1" applyAlignment="1">
      <alignment horizontal="left" vertical="center" indent="1"/>
    </xf>
    <xf numFmtId="0" fontId="35" fillId="36" borderId="24" xfId="0" applyFont="1" applyFill="1" applyBorder="1" applyAlignment="1">
      <alignment vertical="center"/>
    </xf>
    <xf numFmtId="0" fontId="41" fillId="30" borderId="0" xfId="0" applyFont="1" applyFill="1" applyAlignment="1">
      <alignment horizontal="left" vertical="center" indent="1"/>
    </xf>
    <xf numFmtId="0" fontId="42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center" vertical="center"/>
    </xf>
    <xf numFmtId="0" fontId="49" fillId="30" borderId="0" xfId="0" applyFont="1" applyFill="1" applyAlignment="1">
      <alignment horizontal="left" vertical="center" indent="1"/>
    </xf>
    <xf numFmtId="0" fontId="43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left" vertical="center" inden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177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79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178" fontId="8" fillId="35" borderId="0" xfId="0" applyNumberFormat="1" applyFont="1" applyFill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7" fillId="35" borderId="0" xfId="0" applyFont="1" applyFill="1" applyAlignment="1" applyProtection="1">
      <alignment/>
      <protection locked="0"/>
    </xf>
    <xf numFmtId="0" fontId="2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50" fillId="37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38" borderId="0" xfId="0" applyFont="1" applyFill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9" borderId="0" xfId="0" applyFill="1" applyAlignment="1" applyProtection="1">
      <alignment/>
      <protection hidden="1"/>
    </xf>
    <xf numFmtId="0" fontId="12" fillId="4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 quotePrefix="1">
      <alignment/>
      <protection hidden="1"/>
    </xf>
    <xf numFmtId="0" fontId="5" fillId="37" borderId="0" xfId="0" applyFont="1" applyFill="1" applyAlignment="1" applyProtection="1">
      <alignment/>
      <protection hidden="1"/>
    </xf>
    <xf numFmtId="0" fontId="51" fillId="37" borderId="0" xfId="0" applyFont="1" applyFill="1" applyAlignment="1" applyProtection="1">
      <alignment/>
      <protection hidden="1"/>
    </xf>
    <xf numFmtId="0" fontId="17" fillId="37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7" fillId="39" borderId="0" xfId="0" applyFont="1" applyFill="1" applyAlignment="1" applyProtection="1">
      <alignment/>
      <protection hidden="1"/>
    </xf>
    <xf numFmtId="0" fontId="17" fillId="41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7" fillId="40" borderId="0" xfId="0" applyFont="1" applyFill="1" applyAlignment="1" applyProtection="1">
      <alignment/>
      <protection hidden="1"/>
    </xf>
    <xf numFmtId="0" fontId="19" fillId="41" borderId="0" xfId="0" applyFont="1" applyFill="1" applyAlignment="1" applyProtection="1">
      <alignment/>
      <protection hidden="1"/>
    </xf>
    <xf numFmtId="0" fontId="12" fillId="41" borderId="0" xfId="0" applyFont="1" applyFill="1" applyAlignment="1" applyProtection="1">
      <alignment/>
      <protection hidden="1"/>
    </xf>
    <xf numFmtId="177" fontId="5" fillId="37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52" fillId="37" borderId="0" xfId="0" applyNumberFormat="1" applyFont="1" applyFill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180" fontId="6" fillId="0" borderId="0" xfId="0" applyNumberFormat="1" applyFont="1" applyFill="1" applyAlignment="1" applyProtection="1">
      <alignment/>
      <protection hidden="1"/>
    </xf>
    <xf numFmtId="180" fontId="22" fillId="0" borderId="0" xfId="0" applyNumberFormat="1" applyFont="1" applyFill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180" fontId="6" fillId="0" borderId="0" xfId="0" applyNumberFormat="1" applyFont="1" applyAlignment="1" applyProtection="1">
      <alignment/>
      <protection hidden="1"/>
    </xf>
    <xf numFmtId="176" fontId="0" fillId="0" borderId="0" xfId="0" applyNumberFormat="1" applyFont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176" fontId="5" fillId="41" borderId="0" xfId="0" applyNumberFormat="1" applyFont="1" applyFill="1" applyAlignment="1" applyProtection="1">
      <alignment/>
      <protection hidden="1"/>
    </xf>
    <xf numFmtId="179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178" fontId="3" fillId="0" borderId="0" xfId="0" applyNumberFormat="1" applyFont="1" applyAlignment="1" applyProtection="1">
      <alignment horizontal="center"/>
      <protection hidden="1"/>
    </xf>
    <xf numFmtId="0" fontId="60" fillId="0" borderId="0" xfId="0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26" fillId="30" borderId="0" xfId="0" applyFont="1" applyFill="1" applyAlignment="1">
      <alignment/>
    </xf>
    <xf numFmtId="0" fontId="62" fillId="30" borderId="0" xfId="0" applyFont="1" applyFill="1" applyAlignment="1">
      <alignment/>
    </xf>
    <xf numFmtId="0" fontId="26" fillId="0" borderId="0" xfId="0" applyFont="1" applyAlignment="1">
      <alignment/>
    </xf>
    <xf numFmtId="0" fontId="26" fillId="42" borderId="27" xfId="0" applyFont="1" applyFill="1" applyBorder="1" applyAlignment="1">
      <alignment horizont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62" fillId="42" borderId="27" xfId="0" applyFont="1" applyFill="1" applyBorder="1" applyAlignment="1">
      <alignment horizontal="center"/>
    </xf>
    <xf numFmtId="0" fontId="26" fillId="42" borderId="30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8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62" fillId="42" borderId="30" xfId="0" applyFont="1" applyFill="1" applyBorder="1" applyAlignment="1">
      <alignment horizontal="center"/>
    </xf>
    <xf numFmtId="0" fontId="26" fillId="42" borderId="32" xfId="0" applyFont="1" applyFill="1" applyBorder="1" applyAlignment="1">
      <alignment horizontal="center"/>
    </xf>
    <xf numFmtId="0" fontId="26" fillId="42" borderId="27" xfId="0" applyFont="1" applyFill="1" applyBorder="1" applyAlignment="1">
      <alignment/>
    </xf>
    <xf numFmtId="0" fontId="26" fillId="0" borderId="29" xfId="0" applyFont="1" applyBorder="1" applyAlignment="1">
      <alignment/>
    </xf>
    <xf numFmtId="0" fontId="26" fillId="0" borderId="27" xfId="0" applyFont="1" applyBorder="1" applyAlignment="1">
      <alignment/>
    </xf>
    <xf numFmtId="0" fontId="26" fillId="0" borderId="29" xfId="0" applyFont="1" applyBorder="1" applyAlignment="1">
      <alignment horizontal="left"/>
    </xf>
    <xf numFmtId="0" fontId="62" fillId="0" borderId="27" xfId="0" applyFont="1" applyFill="1" applyBorder="1" applyAlignment="1">
      <alignment/>
    </xf>
    <xf numFmtId="0" fontId="26" fillId="42" borderId="33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62" fillId="0" borderId="33" xfId="0" applyFont="1" applyFill="1" applyBorder="1" applyAlignment="1">
      <alignment/>
    </xf>
    <xf numFmtId="0" fontId="26" fillId="42" borderId="30" xfId="0" applyFont="1" applyFill="1" applyBorder="1" applyAlignment="1">
      <alignment/>
    </xf>
    <xf numFmtId="0" fontId="26" fillId="0" borderId="32" xfId="0" applyFont="1" applyBorder="1" applyAlignment="1">
      <alignment/>
    </xf>
    <xf numFmtId="0" fontId="26" fillId="0" borderId="30" xfId="0" applyFont="1" applyBorder="1" applyAlignment="1">
      <alignment/>
    </xf>
    <xf numFmtId="0" fontId="26" fillId="0" borderId="32" xfId="0" applyFont="1" applyBorder="1" applyAlignment="1">
      <alignment horizontal="left"/>
    </xf>
    <xf numFmtId="0" fontId="62" fillId="0" borderId="30" xfId="0" applyFont="1" applyFill="1" applyBorder="1" applyAlignment="1">
      <alignment/>
    </xf>
    <xf numFmtId="0" fontId="26" fillId="42" borderId="33" xfId="0" applyFont="1" applyFill="1" applyBorder="1" applyAlignment="1">
      <alignment horizontal="center"/>
    </xf>
    <xf numFmtId="0" fontId="26" fillId="42" borderId="34" xfId="0" applyFont="1" applyFill="1" applyBorder="1" applyAlignment="1">
      <alignment horizontal="center"/>
    </xf>
    <xf numFmtId="0" fontId="26" fillId="0" borderId="34" xfId="0" applyFont="1" applyBorder="1" applyAlignment="1">
      <alignment/>
    </xf>
    <xf numFmtId="0" fontId="26" fillId="0" borderId="35" xfId="0" applyFont="1" applyBorder="1" applyAlignment="1">
      <alignment/>
    </xf>
    <xf numFmtId="0" fontId="26" fillId="0" borderId="36" xfId="0" applyFont="1" applyBorder="1" applyAlignment="1">
      <alignment/>
    </xf>
    <xf numFmtId="0" fontId="62" fillId="42" borderId="29" xfId="0" applyFont="1" applyFill="1" applyBorder="1" applyAlignment="1">
      <alignment horizontal="center"/>
    </xf>
    <xf numFmtId="0" fontId="26" fillId="42" borderId="37" xfId="0" applyFont="1" applyFill="1" applyBorder="1" applyAlignment="1">
      <alignment horizontal="center"/>
    </xf>
    <xf numFmtId="0" fontId="62" fillId="42" borderId="32" xfId="0" applyFont="1" applyFill="1" applyBorder="1" applyAlignment="1">
      <alignment horizontal="center"/>
    </xf>
    <xf numFmtId="0" fontId="26" fillId="42" borderId="36" xfId="0" applyFont="1" applyFill="1" applyBorder="1" applyAlignment="1">
      <alignment horizontal="center"/>
    </xf>
    <xf numFmtId="0" fontId="26" fillId="42" borderId="38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26" fillId="42" borderId="37" xfId="0" applyFont="1" applyFill="1" applyBorder="1" applyAlignment="1">
      <alignment/>
    </xf>
    <xf numFmtId="0" fontId="26" fillId="0" borderId="32" xfId="0" applyFont="1" applyFill="1" applyBorder="1" applyAlignment="1">
      <alignment/>
    </xf>
    <xf numFmtId="0" fontId="62" fillId="0" borderId="32" xfId="0" applyFont="1" applyFill="1" applyBorder="1" applyAlignment="1">
      <alignment/>
    </xf>
    <xf numFmtId="176" fontId="5" fillId="37" borderId="0" xfId="0" applyNumberFormat="1" applyFont="1" applyFill="1" applyAlignment="1" applyProtection="1">
      <alignment horizontal="right"/>
      <protection hidden="1"/>
    </xf>
    <xf numFmtId="0" fontId="12" fillId="40" borderId="0" xfId="0" applyFont="1" applyFill="1" applyAlignment="1" applyProtection="1">
      <alignment horizontal="center" vertical="center"/>
      <protection hidden="1"/>
    </xf>
    <xf numFmtId="0" fontId="19" fillId="41" borderId="0" xfId="0" applyFont="1" applyFill="1" applyAlignment="1" applyProtection="1">
      <alignment horizontal="center" vertical="center" wrapText="1"/>
      <protection hidden="1"/>
    </xf>
    <xf numFmtId="0" fontId="12" fillId="40" borderId="0" xfId="0" applyFont="1" applyFill="1" applyAlignment="1" applyProtection="1">
      <alignment vertical="center"/>
      <protection hidden="1"/>
    </xf>
    <xf numFmtId="177" fontId="8" fillId="35" borderId="0" xfId="0" applyNumberFormat="1" applyFont="1" applyFill="1" applyAlignment="1" applyProtection="1">
      <alignment/>
      <protection locked="0"/>
    </xf>
    <xf numFmtId="187" fontId="4" fillId="37" borderId="0" xfId="0" applyNumberFormat="1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3" fontId="5" fillId="37" borderId="0" xfId="0" applyNumberFormat="1" applyFont="1" applyFill="1" applyAlignment="1" applyProtection="1">
      <alignment/>
      <protection hidden="1"/>
    </xf>
    <xf numFmtId="3" fontId="5" fillId="37" borderId="0" xfId="0" applyNumberFormat="1" applyFont="1" applyFill="1" applyAlignment="1" applyProtection="1">
      <alignment horizontal="right"/>
      <protection hidden="1"/>
    </xf>
    <xf numFmtId="3" fontId="5" fillId="37" borderId="0" xfId="0" applyNumberFormat="1" applyFont="1" applyFill="1" applyAlignment="1" applyProtection="1">
      <alignment/>
      <protection hidden="1"/>
    </xf>
    <xf numFmtId="0" fontId="63" fillId="43" borderId="39" xfId="0" applyFont="1" applyFill="1" applyBorder="1" applyAlignment="1" applyProtection="1">
      <alignment horizontal="center"/>
      <protection/>
    </xf>
    <xf numFmtId="0" fontId="63" fillId="43" borderId="40" xfId="0" applyFont="1" applyFill="1" applyBorder="1" applyAlignment="1" applyProtection="1">
      <alignment horizontal="center"/>
      <protection/>
    </xf>
    <xf numFmtId="0" fontId="63" fillId="43" borderId="41" xfId="0" applyFont="1" applyFill="1" applyBorder="1" applyAlignment="1" applyProtection="1">
      <alignment horizontal="center"/>
      <protection/>
    </xf>
    <xf numFmtId="0" fontId="64" fillId="43" borderId="42" xfId="0" applyFont="1" applyFill="1" applyBorder="1" applyAlignment="1" applyProtection="1">
      <alignment horizontal="center"/>
      <protection/>
    </xf>
    <xf numFmtId="0" fontId="66" fillId="0" borderId="8" xfId="0" applyFont="1" applyBorder="1" applyAlignment="1" applyProtection="1">
      <alignment horizontal="center"/>
      <protection/>
    </xf>
    <xf numFmtId="176" fontId="65" fillId="37" borderId="8" xfId="0" applyNumberFormat="1" applyFont="1" applyFill="1" applyBorder="1" applyAlignment="1" applyProtection="1" quotePrefix="1">
      <alignment horizontal="center"/>
      <protection/>
    </xf>
    <xf numFmtId="0" fontId="67" fillId="0" borderId="8" xfId="0" applyFont="1" applyBorder="1" applyAlignment="1" applyProtection="1">
      <alignment horizontal="center"/>
      <protection/>
    </xf>
    <xf numFmtId="0" fontId="67" fillId="0" borderId="43" xfId="0" applyFont="1" applyBorder="1" applyAlignment="1" applyProtection="1">
      <alignment horizontal="center"/>
      <protection/>
    </xf>
    <xf numFmtId="178" fontId="65" fillId="37" borderId="8" xfId="0" applyNumberFormat="1" applyFont="1" applyFill="1" applyBorder="1" applyAlignment="1" applyProtection="1" quotePrefix="1">
      <alignment horizontal="center"/>
      <protection/>
    </xf>
    <xf numFmtId="0" fontId="67" fillId="37" borderId="8" xfId="0" applyFont="1" applyFill="1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65" fillId="37" borderId="8" xfId="0" applyNumberFormat="1" applyFont="1" applyFill="1" applyBorder="1" applyAlignment="1" applyProtection="1" quotePrefix="1">
      <alignment horizontal="center"/>
      <protection/>
    </xf>
    <xf numFmtId="0" fontId="65" fillId="37" borderId="8" xfId="0" applyNumberFormat="1" applyFont="1" applyFill="1" applyBorder="1" applyAlignment="1" applyProtection="1">
      <alignment horizontal="center"/>
      <protection/>
    </xf>
    <xf numFmtId="0" fontId="70" fillId="0" borderId="0" xfId="0" applyFont="1" applyAlignment="1">
      <alignment/>
    </xf>
    <xf numFmtId="0" fontId="64" fillId="43" borderId="39" xfId="0" applyFont="1" applyFill="1" applyBorder="1" applyAlignment="1" applyProtection="1">
      <alignment horizontal="center"/>
      <protection/>
    </xf>
    <xf numFmtId="176" fontId="65" fillId="37" borderId="40" xfId="0" applyNumberFormat="1" applyFont="1" applyFill="1" applyBorder="1" applyAlignment="1" applyProtection="1" quotePrefix="1">
      <alignment horizontal="center"/>
      <protection/>
    </xf>
    <xf numFmtId="0" fontId="66" fillId="0" borderId="41" xfId="0" applyFont="1" applyBorder="1" applyAlignment="1" applyProtection="1">
      <alignment horizontal="center"/>
      <protection/>
    </xf>
    <xf numFmtId="177" fontId="65" fillId="37" borderId="40" xfId="0" applyNumberFormat="1" applyFont="1" applyFill="1" applyBorder="1" applyAlignment="1" applyProtection="1" quotePrefix="1">
      <alignment horizontal="center"/>
      <protection/>
    </xf>
    <xf numFmtId="0" fontId="4" fillId="0" borderId="0" xfId="0" applyFont="1" applyAlignment="1" applyProtection="1">
      <alignment horizontal="left" wrapText="1"/>
      <protection hidden="1"/>
    </xf>
    <xf numFmtId="178" fontId="73" fillId="0" borderId="0" xfId="0" applyNumberFormat="1" applyFont="1" applyFill="1" applyAlignment="1" applyProtection="1">
      <alignment wrapText="1"/>
      <protection hidden="1"/>
    </xf>
    <xf numFmtId="0" fontId="26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78" fontId="3" fillId="0" borderId="0" xfId="0" applyNumberFormat="1" applyFont="1" applyAlignment="1" applyProtection="1">
      <alignment horizontal="left"/>
      <protection hidden="1"/>
    </xf>
    <xf numFmtId="0" fontId="0" fillId="0" borderId="0" xfId="0" applyAlignment="1">
      <alignment horizontal="left"/>
    </xf>
    <xf numFmtId="179" fontId="5" fillId="37" borderId="0" xfId="0" applyNumberFormat="1" applyFont="1" applyFill="1" applyAlignment="1" applyProtection="1">
      <alignment/>
      <protection hidden="1"/>
    </xf>
    <xf numFmtId="38" fontId="5" fillId="37" borderId="0" xfId="0" applyNumberFormat="1" applyFont="1" applyFill="1" applyAlignment="1" applyProtection="1">
      <alignment/>
      <protection hidden="1"/>
    </xf>
    <xf numFmtId="0" fontId="65" fillId="37" borderId="31" xfId="0" applyNumberFormat="1" applyFont="1" applyFill="1" applyBorder="1" applyAlignment="1" applyProtection="1">
      <alignment horizontal="center"/>
      <protection/>
    </xf>
    <xf numFmtId="0" fontId="0" fillId="0" borderId="44" xfId="0" applyBorder="1" applyAlignment="1">
      <alignment horizont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20" xfId="0" applyFont="1" applyFill="1" applyBorder="1" applyAlignment="1">
      <alignment horizontal="center" vertical="center" wrapText="1"/>
    </xf>
    <xf numFmtId="0" fontId="24" fillId="30" borderId="22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/>
    </xf>
    <xf numFmtId="0" fontId="35" fillId="30" borderId="17" xfId="0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/>
    </xf>
    <xf numFmtId="0" fontId="46" fillId="30" borderId="16" xfId="0" applyFont="1" applyFill="1" applyBorder="1" applyAlignment="1">
      <alignment horizontal="center" vertical="center"/>
    </xf>
    <xf numFmtId="0" fontId="46" fillId="30" borderId="14" xfId="0" applyFont="1" applyFill="1" applyBorder="1" applyAlignment="1">
      <alignment horizontal="center" vertical="center"/>
    </xf>
    <xf numFmtId="0" fontId="46" fillId="30" borderId="17" xfId="0" applyFont="1" applyFill="1" applyBorder="1" applyAlignment="1">
      <alignment horizontal="center" vertical="center"/>
    </xf>
    <xf numFmtId="0" fontId="46" fillId="30" borderId="22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left" vertical="center" wrapText="1"/>
    </xf>
    <xf numFmtId="0" fontId="24" fillId="30" borderId="20" xfId="0" applyFont="1" applyFill="1" applyBorder="1" applyAlignment="1">
      <alignment horizontal="left" vertical="center" wrapText="1"/>
    </xf>
    <xf numFmtId="0" fontId="24" fillId="30" borderId="22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left" vertical="center"/>
    </xf>
    <xf numFmtId="0" fontId="46" fillId="30" borderId="14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 wrapText="1"/>
    </xf>
    <xf numFmtId="0" fontId="46" fillId="30" borderId="17" xfId="0" applyFont="1" applyFill="1" applyBorder="1" applyAlignment="1">
      <alignment horizontal="center" vertical="center" wrapText="1"/>
    </xf>
    <xf numFmtId="0" fontId="46" fillId="30" borderId="22" xfId="0" applyFont="1" applyFill="1" applyBorder="1" applyAlignment="1">
      <alignment horizontal="center" vertical="center" wrapText="1"/>
    </xf>
    <xf numFmtId="0" fontId="35" fillId="30" borderId="19" xfId="0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center" vertical="center"/>
    </xf>
    <xf numFmtId="0" fontId="24" fillId="30" borderId="22" xfId="0" applyFont="1" applyFill="1" applyBorder="1" applyAlignment="1">
      <alignment horizontal="center" vertical="center"/>
    </xf>
    <xf numFmtId="0" fontId="46" fillId="30" borderId="20" xfId="0" applyFont="1" applyFill="1" applyBorder="1" applyAlignment="1">
      <alignment horizontal="center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34" fillId="30" borderId="24" xfId="0" applyFont="1" applyFill="1" applyBorder="1" applyAlignment="1">
      <alignment horizontal="left" vertical="center"/>
    </xf>
    <xf numFmtId="0" fontId="24" fillId="30" borderId="21" xfId="0" applyFont="1" applyFill="1" applyBorder="1" applyAlignment="1">
      <alignment horizontal="center" vertical="center"/>
    </xf>
    <xf numFmtId="0" fontId="34" fillId="30" borderId="16" xfId="0" applyFont="1" applyFill="1" applyBorder="1" applyAlignment="1">
      <alignment horizontal="left" vertical="center"/>
    </xf>
    <xf numFmtId="0" fontId="34" fillId="30" borderId="14" xfId="0" applyFont="1" applyFill="1" applyBorder="1" applyAlignment="1">
      <alignment horizontal="left" vertical="center"/>
    </xf>
    <xf numFmtId="0" fontId="34" fillId="30" borderId="45" xfId="0" applyFont="1" applyFill="1" applyBorder="1" applyAlignment="1">
      <alignment horizontal="left" vertical="center"/>
    </xf>
    <xf numFmtId="0" fontId="34" fillId="30" borderId="15" xfId="0" applyFont="1" applyFill="1" applyBorder="1" applyAlignment="1">
      <alignment horizontal="left" vertical="center"/>
    </xf>
    <xf numFmtId="0" fontId="24" fillId="30" borderId="0" xfId="0" applyFont="1" applyFill="1" applyAlignment="1">
      <alignment horizontal="center" vertical="center" wrapText="1"/>
    </xf>
    <xf numFmtId="0" fontId="24" fillId="30" borderId="0" xfId="0" applyFont="1" applyFill="1" applyAlignment="1">
      <alignment horizontal="center" vertical="center"/>
    </xf>
    <xf numFmtId="0" fontId="24" fillId="36" borderId="19" xfId="0" applyFont="1" applyFill="1" applyBorder="1" applyAlignment="1">
      <alignment horizontal="center" vertical="center"/>
    </xf>
    <xf numFmtId="0" fontId="24" fillId="36" borderId="21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 wrapText="1"/>
    </xf>
    <xf numFmtId="0" fontId="24" fillId="36" borderId="21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0" fontId="46" fillId="30" borderId="19" xfId="0" applyFont="1" applyFill="1" applyBorder="1" applyAlignment="1">
      <alignment horizontal="center" vertical="center"/>
    </xf>
    <xf numFmtId="0" fontId="46" fillId="30" borderId="23" xfId="0" applyFont="1" applyFill="1" applyBorder="1" applyAlignment="1">
      <alignment horizontal="center" vertical="center"/>
    </xf>
    <xf numFmtId="0" fontId="46" fillId="30" borderId="20" xfId="0" applyFont="1" applyFill="1" applyBorder="1" applyAlignment="1">
      <alignment horizontal="center" vertical="center" wrapText="1"/>
    </xf>
    <xf numFmtId="0" fontId="24" fillId="36" borderId="25" xfId="0" applyFont="1" applyFill="1" applyBorder="1" applyAlignment="1">
      <alignment horizontal="center" vertical="center" wrapText="1"/>
    </xf>
    <xf numFmtId="0" fontId="24" fillId="36" borderId="26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20" xfId="0" applyFont="1" applyFill="1" applyBorder="1" applyAlignment="1">
      <alignment horizontal="center" vertical="center" wrapText="1"/>
    </xf>
    <xf numFmtId="0" fontId="32" fillId="36" borderId="22" xfId="0" applyFont="1" applyFill="1" applyBorder="1" applyAlignment="1">
      <alignment horizontal="center" vertical="center" wrapText="1"/>
    </xf>
    <xf numFmtId="0" fontId="24" fillId="36" borderId="46" xfId="0" applyFont="1" applyFill="1" applyBorder="1" applyAlignment="1">
      <alignment horizontal="center" vertical="center" wrapText="1"/>
    </xf>
    <xf numFmtId="0" fontId="24" fillId="36" borderId="4" xfId="0" applyFont="1" applyFill="1" applyBorder="1" applyAlignment="1">
      <alignment horizontal="center" vertical="center" wrapText="1"/>
    </xf>
    <xf numFmtId="0" fontId="24" fillId="36" borderId="29" xfId="0" applyFont="1" applyFill="1" applyBorder="1" applyAlignment="1">
      <alignment horizontal="center" vertical="center" wrapText="1"/>
    </xf>
    <xf numFmtId="0" fontId="24" fillId="36" borderId="17" xfId="0" applyFont="1" applyFill="1" applyBorder="1" applyAlignment="1">
      <alignment horizontal="center" vertical="center"/>
    </xf>
    <xf numFmtId="0" fontId="24" fillId="36" borderId="20" xfId="0" applyFont="1" applyFill="1" applyBorder="1" applyAlignment="1">
      <alignment horizontal="center" vertical="center"/>
    </xf>
    <xf numFmtId="0" fontId="24" fillId="36" borderId="22" xfId="0" applyFont="1" applyFill="1" applyBorder="1" applyAlignment="1">
      <alignment horizontal="center" vertical="center"/>
    </xf>
    <xf numFmtId="0" fontId="24" fillId="36" borderId="25" xfId="0" applyFont="1" applyFill="1" applyBorder="1" applyAlignment="1">
      <alignment horizontal="center" vertical="center"/>
    </xf>
    <xf numFmtId="0" fontId="24" fillId="36" borderId="18" xfId="0" applyFont="1" applyFill="1" applyBorder="1" applyAlignment="1">
      <alignment horizontal="center" vertical="center"/>
    </xf>
    <xf numFmtId="0" fontId="24" fillId="36" borderId="17" xfId="0" applyFont="1" applyFill="1" applyBorder="1" applyAlignment="1">
      <alignment horizontal="center" vertical="center" wrapText="1"/>
    </xf>
    <xf numFmtId="0" fontId="24" fillId="36" borderId="22" xfId="0" applyFont="1" applyFill="1" applyBorder="1" applyAlignment="1">
      <alignment horizontal="center" vertical="center" wrapText="1"/>
    </xf>
    <xf numFmtId="0" fontId="37" fillId="30" borderId="20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left" vertical="center"/>
    </xf>
    <xf numFmtId="0" fontId="37" fillId="30" borderId="17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26" fillId="42" borderId="44" xfId="0" applyFont="1" applyFill="1" applyBorder="1" applyAlignment="1">
      <alignment horizontal="center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"/>
          <c:w val="0.94775"/>
          <c:h val="0.9197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Flyback_QRC!$B$137:$B$156</c:f>
              <c:numCache/>
            </c:numRef>
          </c:xVal>
          <c:yVal>
            <c:numRef>
              <c:f>Flyback_QRC!$C$137:$C$156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Flyback_QRC!$B$137:$B$156</c:f>
              <c:numCache/>
            </c:numRef>
          </c:xVal>
          <c:yVal>
            <c:numRef>
              <c:f>Flyback_QRC!$D$137:$D$156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Flyback_QRC!$B$137:$B$156</c:f>
              <c:numCache/>
            </c:numRef>
          </c:xVal>
          <c:yVal>
            <c:numRef>
              <c:f>Flyback_QRC!$E$137:$E$156</c:f>
              <c:numCache/>
            </c:numRef>
          </c:yVal>
          <c:smooth val="1"/>
        </c:ser>
        <c:axId val="8667865"/>
        <c:axId val="10901922"/>
      </c:scatterChart>
      <c:valAx>
        <c:axId val="8667865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10901922"/>
        <c:crossesAt val="-40"/>
        <c:crossBetween val="midCat"/>
        <c:dispUnits/>
        <c:minorUnit val="10"/>
      </c:valAx>
      <c:valAx>
        <c:axId val="10901922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8667865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25"/>
          <c:y val="0.09025"/>
          <c:w val="0.23825"/>
          <c:h val="0.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0825"/>
          <c:w val="0.96"/>
          <c:h val="0.9367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Flyback_QRC!$G$137:$G$156</c:f>
              <c:numCache/>
            </c:numRef>
          </c:xVal>
          <c:yVal>
            <c:numRef>
              <c:f>Flyback_QRC!$H$137:$H$156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Flyback_QRC!$G$137:$G$156</c:f>
              <c:numCache/>
            </c:numRef>
          </c:xVal>
          <c:yVal>
            <c:numRef>
              <c:f>Flyback_QRC!$I$137:$I$156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Flyback_QRC!$G$137:$G$156</c:f>
              <c:numCache/>
            </c:numRef>
          </c:xVal>
          <c:yVal>
            <c:numRef>
              <c:f>Flyback_QRC!$J$137:$J$156</c:f>
              <c:numCache/>
            </c:numRef>
          </c:yVal>
          <c:smooth val="1"/>
        </c:ser>
        <c:axId val="31008435"/>
        <c:axId val="10640460"/>
      </c:scatterChart>
      <c:valAx>
        <c:axId val="31008435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10640460"/>
        <c:crossesAt val="-180"/>
        <c:crossBetween val="midCat"/>
        <c:dispUnits/>
        <c:majorUnit val="10"/>
        <c:minorUnit val="10"/>
      </c:valAx>
      <c:valAx>
        <c:axId val="10640460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31008435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9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Relationship Id="rId5" Type="http://schemas.openxmlformats.org/officeDocument/2006/relationships/image" Target="../media/image12.emf" /><Relationship Id="rId6" Type="http://schemas.openxmlformats.org/officeDocument/2006/relationships/image" Target="../media/image8.emf" /><Relationship Id="rId7" Type="http://schemas.openxmlformats.org/officeDocument/2006/relationships/image" Target="../media/image10.emf" /><Relationship Id="rId8" Type="http://schemas.openxmlformats.org/officeDocument/2006/relationships/image" Target="../media/image7.emf" /><Relationship Id="rId9" Type="http://schemas.openxmlformats.org/officeDocument/2006/relationships/image" Target="../media/image1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134</xdr:row>
      <xdr:rowOff>66675</xdr:rowOff>
    </xdr:from>
    <xdr:to>
      <xdr:col>9</xdr:col>
      <xdr:colOff>76200</xdr:colOff>
      <xdr:row>149</xdr:row>
      <xdr:rowOff>114300</xdr:rowOff>
    </xdr:to>
    <xdr:graphicFrame>
      <xdr:nvGraphicFramePr>
        <xdr:cNvPr id="1" name="Chart 70"/>
        <xdr:cNvGraphicFramePr/>
      </xdr:nvGraphicFramePr>
      <xdr:xfrm>
        <a:off x="161925" y="25069800"/>
        <a:ext cx="76390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150</xdr:row>
      <xdr:rowOff>38100</xdr:rowOff>
    </xdr:from>
    <xdr:to>
      <xdr:col>9</xdr:col>
      <xdr:colOff>57150</xdr:colOff>
      <xdr:row>164</xdr:row>
      <xdr:rowOff>28575</xdr:rowOff>
    </xdr:to>
    <xdr:graphicFrame>
      <xdr:nvGraphicFramePr>
        <xdr:cNvPr id="2" name="Chart 71"/>
        <xdr:cNvGraphicFramePr/>
      </xdr:nvGraphicFramePr>
      <xdr:xfrm>
        <a:off x="161925" y="27784425"/>
        <a:ext cx="762000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17</xdr:col>
      <xdr:colOff>257175</xdr:colOff>
      <xdr:row>141</xdr:row>
      <xdr:rowOff>57150</xdr:rowOff>
    </xdr:from>
    <xdr:ext cx="2190750" cy="838200"/>
    <xdr:sp>
      <xdr:nvSpPr>
        <xdr:cNvPr id="3" name="AutoShape 77"/>
        <xdr:cNvSpPr>
          <a:spLocks/>
        </xdr:cNvSpPr>
      </xdr:nvSpPr>
      <xdr:spPr>
        <a:xfrm>
          <a:off x="12744450" y="26260425"/>
          <a:ext cx="2190750" cy="838200"/>
        </a:xfrm>
        <a:prstGeom prst="wedgeRectCallout">
          <a:avLst>
            <a:gd name="adj1" fmla="val -126087"/>
            <a:gd name="adj2" fmla="val -39773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For CCM mode flyback, set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 below 1/3 of right half plane zero </a:t>
          </a:r>
          <a:r>
            <a:rPr lang="en-US" cap="none" sz="1000" b="0" i="1" u="none" baseline="0">
              <a:solidFill>
                <a:srgbClr val="FFFF00"/>
              </a:solidFill>
            </a:rPr>
            <a:t>frz</a:t>
          </a:r>
          <a:r>
            <a:rPr lang="en-US" cap="none" sz="1000" b="0" i="0" u="none" baseline="0">
              <a:solidFill>
                <a:srgbClr val="FFFF00"/>
              </a:solidFill>
            </a:rPr>
            <a:t>.
</a:t>
          </a:r>
          <a:r>
            <a:rPr lang="en-US" cap="none" sz="1000" b="0" i="0" u="none" baseline="0">
              <a:solidFill>
                <a:srgbClr val="FFFF00"/>
              </a:solidFill>
            </a:rPr>
            <a:t>When additional LC filter is employed, fc should be placed below 1/3 of the corner frequency of the LC filter.</a:t>
          </a:r>
        </a:p>
      </xdr:txBody>
    </xdr:sp>
    <xdr:clientData/>
  </xdr:oneCellAnchor>
  <xdr:oneCellAnchor>
    <xdr:from>
      <xdr:col>14</xdr:col>
      <xdr:colOff>295275</xdr:colOff>
      <xdr:row>131</xdr:row>
      <xdr:rowOff>123825</xdr:rowOff>
    </xdr:from>
    <xdr:ext cx="1438275" cy="381000"/>
    <xdr:sp>
      <xdr:nvSpPr>
        <xdr:cNvPr id="4" name="AutoShape 78"/>
        <xdr:cNvSpPr>
          <a:spLocks/>
        </xdr:cNvSpPr>
      </xdr:nvSpPr>
      <xdr:spPr>
        <a:xfrm>
          <a:off x="10496550" y="24498300"/>
          <a:ext cx="1438275" cy="381000"/>
        </a:xfrm>
        <a:prstGeom prst="wedgeRectCallout">
          <a:avLst>
            <a:gd name="adj1" fmla="val -40726"/>
            <a:gd name="adj2" fmla="val 312500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zero </a:t>
          </a:r>
          <a:r>
            <a:rPr lang="en-US" cap="none" sz="1000" b="0" i="1" u="none" baseline="0">
              <a:solidFill>
                <a:srgbClr val="FFFF00"/>
              </a:solidFill>
            </a:rPr>
            <a:t>fzc</a:t>
          </a:r>
          <a:r>
            <a:rPr lang="en-US" cap="none" sz="1000" b="0" i="0" u="none" baseline="0">
              <a:solidFill>
                <a:srgbClr val="FFFF00"/>
              </a:solidFill>
            </a:rPr>
            <a:t> around </a:t>
          </a:r>
          <a:r>
            <a:rPr lang="en-US" cap="none" sz="1000" b="0" i="1" u="none" baseline="0">
              <a:solidFill>
                <a:srgbClr val="FFFF00"/>
              </a:solidFill>
            </a:rPr>
            <a:t>fc/3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15</xdr:col>
      <xdr:colOff>447675</xdr:colOff>
      <xdr:row>133</xdr:row>
      <xdr:rowOff>123825</xdr:rowOff>
    </xdr:from>
    <xdr:ext cx="1933575" cy="495300"/>
    <xdr:sp>
      <xdr:nvSpPr>
        <xdr:cNvPr id="5" name="AutoShape 79"/>
        <xdr:cNvSpPr>
          <a:spLocks/>
        </xdr:cNvSpPr>
      </xdr:nvSpPr>
      <xdr:spPr>
        <a:xfrm>
          <a:off x="11410950" y="24917400"/>
          <a:ext cx="1933575" cy="495300"/>
        </a:xfrm>
        <a:prstGeom prst="wedgeRectCallout">
          <a:avLst>
            <a:gd name="adj1" fmla="val -71675"/>
            <a:gd name="adj2" fmla="val 15961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Determine the DC gain of the compensator to cancel the control-to-output gain at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17</xdr:col>
      <xdr:colOff>409575</xdr:colOff>
      <xdr:row>137</xdr:row>
      <xdr:rowOff>57150</xdr:rowOff>
    </xdr:from>
    <xdr:ext cx="1466850" cy="371475"/>
    <xdr:sp>
      <xdr:nvSpPr>
        <xdr:cNvPr id="6" name="AutoShape 80"/>
        <xdr:cNvSpPr>
          <a:spLocks/>
        </xdr:cNvSpPr>
      </xdr:nvSpPr>
      <xdr:spPr>
        <a:xfrm>
          <a:off x="12896850" y="25574625"/>
          <a:ext cx="1466850" cy="371475"/>
        </a:xfrm>
        <a:prstGeom prst="wedgeRectCallout">
          <a:avLst>
            <a:gd name="adj1" fmla="val -158439"/>
            <a:gd name="adj2" fmla="val 57694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pole </a:t>
          </a:r>
          <a:r>
            <a:rPr lang="en-US" cap="none" sz="1000" b="0" i="1" u="none" baseline="0">
              <a:solidFill>
                <a:srgbClr val="FFFF00"/>
              </a:solidFill>
            </a:rPr>
            <a:t>fpc</a:t>
          </a:r>
          <a:r>
            <a:rPr lang="en-US" cap="none" sz="1000" b="0" i="0" u="none" baseline="0">
              <a:solidFill>
                <a:srgbClr val="FFFF00"/>
              </a:solidFill>
            </a:rPr>
            <a:t> above 3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4</xdr:col>
      <xdr:colOff>76200</xdr:colOff>
      <xdr:row>142</xdr:row>
      <xdr:rowOff>95250</xdr:rowOff>
    </xdr:from>
    <xdr:to>
      <xdr:col>4</xdr:col>
      <xdr:colOff>76200</xdr:colOff>
      <xdr:row>156</xdr:row>
      <xdr:rowOff>28575</xdr:rowOff>
    </xdr:to>
    <xdr:sp>
      <xdr:nvSpPr>
        <xdr:cNvPr id="7" name="Line 81"/>
        <xdr:cNvSpPr>
          <a:spLocks/>
        </xdr:cNvSpPr>
      </xdr:nvSpPr>
      <xdr:spPr>
        <a:xfrm>
          <a:off x="4686300" y="26469975"/>
          <a:ext cx="0" cy="2333625"/>
        </a:xfrm>
        <a:prstGeom prst="line">
          <a:avLst/>
        </a:prstGeom>
        <a:noFill/>
        <a:ln w="3810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oneCellAnchor>
    <xdr:from>
      <xdr:col>10</xdr:col>
      <xdr:colOff>38100</xdr:colOff>
      <xdr:row>156</xdr:row>
      <xdr:rowOff>57150</xdr:rowOff>
    </xdr:from>
    <xdr:ext cx="1876425" cy="847725"/>
    <xdr:sp>
      <xdr:nvSpPr>
        <xdr:cNvPr id="8" name="AutoShape 82"/>
        <xdr:cNvSpPr>
          <a:spLocks/>
        </xdr:cNvSpPr>
      </xdr:nvSpPr>
      <xdr:spPr>
        <a:xfrm>
          <a:off x="7972425" y="28832175"/>
          <a:ext cx="1876425" cy="847725"/>
        </a:xfrm>
        <a:prstGeom prst="wedgeRectCallout">
          <a:avLst>
            <a:gd name="adj1" fmla="val -161166"/>
            <a:gd name="adj2" fmla="val -505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At the crossover frequency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, the phase difference from the -180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 is phase margin. It is recommended to have phase margin more than 45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19</xdr:col>
      <xdr:colOff>447675</xdr:colOff>
      <xdr:row>316</xdr:row>
      <xdr:rowOff>66675</xdr:rowOff>
    </xdr:from>
    <xdr:to>
      <xdr:col>19</xdr:col>
      <xdr:colOff>447675</xdr:colOff>
      <xdr:row>336</xdr:row>
      <xdr:rowOff>161925</xdr:rowOff>
    </xdr:to>
    <xdr:sp>
      <xdr:nvSpPr>
        <xdr:cNvPr id="9" name="Line 83"/>
        <xdr:cNvSpPr>
          <a:spLocks/>
        </xdr:cNvSpPr>
      </xdr:nvSpPr>
      <xdr:spPr>
        <a:xfrm>
          <a:off x="14458950" y="57235725"/>
          <a:ext cx="0" cy="3524250"/>
        </a:xfrm>
        <a:prstGeom prst="line">
          <a:avLst/>
        </a:prstGeom>
        <a:noFill/>
        <a:ln w="3175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66675</xdr:colOff>
      <xdr:row>156</xdr:row>
      <xdr:rowOff>57150</xdr:rowOff>
    </xdr:from>
    <xdr:to>
      <xdr:col>4</xdr:col>
      <xdr:colOff>66675</xdr:colOff>
      <xdr:row>161</xdr:row>
      <xdr:rowOff>114300</xdr:rowOff>
    </xdr:to>
    <xdr:sp>
      <xdr:nvSpPr>
        <xdr:cNvPr id="10" name="Line 84"/>
        <xdr:cNvSpPr>
          <a:spLocks/>
        </xdr:cNvSpPr>
      </xdr:nvSpPr>
      <xdr:spPr>
        <a:xfrm>
          <a:off x="4676775" y="28832175"/>
          <a:ext cx="0" cy="914400"/>
        </a:xfrm>
        <a:prstGeom prst="line">
          <a:avLst/>
        </a:prstGeom>
        <a:noFill/>
        <a:ln w="19050" cmpd="sng">
          <a:solidFill>
            <a:srgbClr val="3366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</xdr:row>
      <xdr:rowOff>0</xdr:rowOff>
    </xdr:from>
    <xdr:to>
      <xdr:col>14</xdr:col>
      <xdr:colOff>485775</xdr:colOff>
      <xdr:row>18</xdr:row>
      <xdr:rowOff>133350</xdr:rowOff>
    </xdr:to>
    <xdr:pic>
      <xdr:nvPicPr>
        <xdr:cNvPr id="1" name="Picture 1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171450"/>
          <a:ext cx="30384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</xdr:row>
      <xdr:rowOff>9525</xdr:rowOff>
    </xdr:from>
    <xdr:to>
      <xdr:col>13</xdr:col>
      <xdr:colOff>685800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0500"/>
          <a:ext cx="3705225" cy="152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17</xdr:row>
      <xdr:rowOff>9525</xdr:rowOff>
    </xdr:from>
    <xdr:to>
      <xdr:col>14</xdr:col>
      <xdr:colOff>200025</xdr:colOff>
      <xdr:row>26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3086100"/>
          <a:ext cx="3981450" cy="1685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19050</xdr:colOff>
      <xdr:row>28</xdr:row>
      <xdr:rowOff>9525</xdr:rowOff>
    </xdr:from>
    <xdr:to>
      <xdr:col>12</xdr:col>
      <xdr:colOff>495300</xdr:colOff>
      <xdr:row>37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5076825"/>
          <a:ext cx="2762250" cy="1676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oleObject" Target="../embeddings/oleObject_0_8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2"/>
  <sheetViews>
    <sheetView tabSelected="1" zoomScale="75" zoomScaleNormal="75" zoomScalePageLayoutView="0" workbookViewId="0" topLeftCell="A1">
      <selection activeCell="C18" sqref="C18"/>
    </sheetView>
  </sheetViews>
  <sheetFormatPr defaultColWidth="8.88671875" defaultRowHeight="13.5"/>
  <cols>
    <col min="1" max="1" width="1.77734375" style="169" customWidth="1"/>
    <col min="2" max="2" width="36.10546875" style="169" customWidth="1"/>
    <col min="3" max="3" width="13.21484375" style="169" customWidth="1"/>
    <col min="4" max="4" width="2.6640625" style="169" customWidth="1"/>
    <col min="5" max="5" width="8.21484375" style="169" customWidth="1"/>
    <col min="6" max="6" width="3.21484375" style="169" customWidth="1"/>
    <col min="7" max="7" width="11.21484375" style="169" customWidth="1"/>
    <col min="8" max="8" width="2.4453125" style="169" customWidth="1"/>
    <col min="9" max="9" width="11.21484375" style="169" customWidth="1"/>
    <col min="10" max="10" width="2.4453125" style="169" customWidth="1"/>
    <col min="11" max="11" width="6.77734375" style="169" customWidth="1"/>
    <col min="12" max="12" width="1.88671875" style="169" customWidth="1"/>
    <col min="13" max="16384" width="8.88671875" style="169" customWidth="1"/>
  </cols>
  <sheetData>
    <row r="1" spans="1:12" ht="13.5">
      <c r="A1" s="188" t="s">
        <v>509</v>
      </c>
      <c r="B1" s="188">
        <v>1000</v>
      </c>
      <c r="C1" s="334" t="s">
        <v>591</v>
      </c>
      <c r="D1" s="335"/>
      <c r="E1" s="335"/>
      <c r="F1" s="335"/>
      <c r="G1" s="335"/>
      <c r="H1" s="335"/>
      <c r="I1" s="189"/>
      <c r="J1" s="189"/>
      <c r="K1" s="189"/>
      <c r="L1" s="189"/>
    </row>
    <row r="2" spans="1:12" ht="13.5">
      <c r="A2" s="188" t="s">
        <v>510</v>
      </c>
      <c r="B2" s="188">
        <v>0.001</v>
      </c>
      <c r="C2" s="335"/>
      <c r="D2" s="335"/>
      <c r="E2" s="335"/>
      <c r="F2" s="335"/>
      <c r="G2" s="335"/>
      <c r="H2" s="335"/>
      <c r="I2" s="189" t="s">
        <v>39</v>
      </c>
      <c r="J2" s="189"/>
      <c r="K2" s="189"/>
      <c r="L2" s="189"/>
    </row>
    <row r="3" spans="1:12" ht="13.5">
      <c r="A3" s="188" t="s">
        <v>508</v>
      </c>
      <c r="B3" s="188">
        <v>1E-06</v>
      </c>
      <c r="C3" s="191" t="s">
        <v>1</v>
      </c>
      <c r="D3" s="190" t="s">
        <v>0</v>
      </c>
      <c r="E3" s="190"/>
      <c r="F3" s="190"/>
      <c r="G3" s="190"/>
      <c r="H3" s="189"/>
      <c r="I3" s="189"/>
      <c r="J3" s="189"/>
      <c r="K3" s="189"/>
      <c r="L3" s="189"/>
    </row>
    <row r="4" spans="1:12" ht="13.5">
      <c r="A4" s="189"/>
      <c r="B4" s="189"/>
      <c r="C4" s="192" t="s">
        <v>261</v>
      </c>
      <c r="D4" s="193" t="s">
        <v>7</v>
      </c>
      <c r="E4" s="193"/>
      <c r="F4" s="193"/>
      <c r="G4" s="193"/>
      <c r="H4" s="189"/>
      <c r="I4" s="189"/>
      <c r="J4" s="189"/>
      <c r="K4" s="189"/>
      <c r="L4" s="189"/>
    </row>
    <row r="5" spans="1:12" ht="13.5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</row>
    <row r="6" spans="1:12" ht="13.5">
      <c r="A6" s="194" t="s">
        <v>262</v>
      </c>
      <c r="B6" s="195"/>
      <c r="C6" s="195"/>
      <c r="D6" s="195"/>
      <c r="E6" s="195"/>
      <c r="F6" s="195"/>
      <c r="G6" s="195"/>
      <c r="H6" s="195"/>
      <c r="I6" s="195"/>
      <c r="J6" s="189"/>
      <c r="K6" s="189"/>
      <c r="L6" s="189"/>
    </row>
    <row r="7" spans="1:12" ht="16.5">
      <c r="A7" s="189"/>
      <c r="B7" s="196" t="s">
        <v>269</v>
      </c>
      <c r="C7" s="2">
        <v>250</v>
      </c>
      <c r="D7" s="196" t="s">
        <v>36</v>
      </c>
      <c r="E7" s="189"/>
      <c r="F7" s="189"/>
      <c r="G7" s="189"/>
      <c r="H7" s="189"/>
      <c r="I7" s="189"/>
      <c r="J7" s="189"/>
      <c r="K7" s="189"/>
      <c r="L7" s="189"/>
    </row>
    <row r="8" spans="1:12" ht="16.5">
      <c r="A8" s="189"/>
      <c r="B8" s="196" t="s">
        <v>268</v>
      </c>
      <c r="C8" s="2">
        <v>280</v>
      </c>
      <c r="D8" s="196" t="s">
        <v>36</v>
      </c>
      <c r="E8" s="196"/>
      <c r="F8" s="196"/>
      <c r="G8" s="189"/>
      <c r="H8" s="189"/>
      <c r="I8" s="189"/>
      <c r="J8" s="189"/>
      <c r="K8" s="189"/>
      <c r="L8" s="189"/>
    </row>
    <row r="9" spans="1:12" ht="16.5">
      <c r="A9" s="189"/>
      <c r="B9" s="196" t="s">
        <v>270</v>
      </c>
      <c r="C9" s="2">
        <v>50</v>
      </c>
      <c r="D9" s="196" t="s">
        <v>3</v>
      </c>
      <c r="E9" s="189"/>
      <c r="F9" s="189"/>
      <c r="G9" s="189"/>
      <c r="H9" s="189"/>
      <c r="I9" s="189"/>
      <c r="J9" s="189"/>
      <c r="K9" s="189"/>
      <c r="L9" s="189"/>
    </row>
    <row r="10" spans="1:12" ht="13.5">
      <c r="A10" s="189"/>
      <c r="B10" s="197"/>
      <c r="C10" s="189"/>
      <c r="D10" s="189"/>
      <c r="E10" s="189"/>
      <c r="F10" s="189"/>
      <c r="G10" s="189"/>
      <c r="H10" s="189"/>
      <c r="I10" s="189"/>
      <c r="J10" s="189"/>
      <c r="K10" s="189"/>
      <c r="L10" s="189"/>
    </row>
    <row r="11" spans="1:14" ht="16.5">
      <c r="A11" s="189"/>
      <c r="B11" s="198"/>
      <c r="C11" s="199" t="s">
        <v>288</v>
      </c>
      <c r="D11" s="198"/>
      <c r="E11" s="199" t="s">
        <v>289</v>
      </c>
      <c r="F11" s="198"/>
      <c r="G11" s="199" t="s">
        <v>290</v>
      </c>
      <c r="H11" s="199"/>
      <c r="I11" s="199" t="s">
        <v>291</v>
      </c>
      <c r="J11" s="189"/>
      <c r="K11" s="189"/>
      <c r="L11" s="189"/>
      <c r="N11" s="171"/>
    </row>
    <row r="12" spans="1:14" ht="13.5">
      <c r="A12" s="189"/>
      <c r="B12" s="196" t="s">
        <v>271</v>
      </c>
      <c r="C12" s="2">
        <v>200</v>
      </c>
      <c r="D12" s="196" t="s">
        <v>2</v>
      </c>
      <c r="E12" s="184">
        <v>0.3</v>
      </c>
      <c r="F12" s="196" t="s">
        <v>10</v>
      </c>
      <c r="G12" s="168">
        <f aca="true" t="shared" si="0" ref="G12:G17">C12*E12</f>
        <v>60</v>
      </c>
      <c r="H12" s="200" t="s">
        <v>13</v>
      </c>
      <c r="I12" s="168">
        <f aca="true" t="shared" si="1" ref="I12:I17">G12/C$18*100</f>
        <v>99.89012086704625</v>
      </c>
      <c r="J12" s="200" t="s">
        <v>15</v>
      </c>
      <c r="K12" s="189"/>
      <c r="L12" s="189"/>
      <c r="N12" s="171"/>
    </row>
    <row r="13" spans="1:14" ht="13.5">
      <c r="A13" s="189"/>
      <c r="B13" s="196" t="s">
        <v>256</v>
      </c>
      <c r="C13" s="2">
        <v>3.3</v>
      </c>
      <c r="D13" s="196" t="s">
        <v>2</v>
      </c>
      <c r="E13" s="184">
        <v>0.02</v>
      </c>
      <c r="F13" s="196" t="s">
        <v>9</v>
      </c>
      <c r="G13" s="168">
        <f t="shared" si="0"/>
        <v>0.066</v>
      </c>
      <c r="H13" s="200" t="s">
        <v>14</v>
      </c>
      <c r="I13" s="168">
        <f t="shared" si="1"/>
        <v>0.10987913295375089</v>
      </c>
      <c r="J13" s="200" t="s">
        <v>16</v>
      </c>
      <c r="K13" s="189"/>
      <c r="L13" s="189"/>
      <c r="N13" s="171"/>
    </row>
    <row r="14" spans="1:14" ht="13.5">
      <c r="A14" s="189"/>
      <c r="B14" s="196" t="s">
        <v>257</v>
      </c>
      <c r="C14" s="2">
        <v>0</v>
      </c>
      <c r="D14" s="196" t="s">
        <v>2</v>
      </c>
      <c r="E14" s="184">
        <v>0</v>
      </c>
      <c r="F14" s="196" t="s">
        <v>11</v>
      </c>
      <c r="G14" s="168">
        <f t="shared" si="0"/>
        <v>0</v>
      </c>
      <c r="H14" s="200" t="s">
        <v>4</v>
      </c>
      <c r="I14" s="168">
        <f t="shared" si="1"/>
        <v>0</v>
      </c>
      <c r="J14" s="200" t="s">
        <v>17</v>
      </c>
      <c r="K14" s="189"/>
      <c r="L14" s="189"/>
      <c r="N14" s="171"/>
    </row>
    <row r="15" spans="1:14" ht="13.5">
      <c r="A15" s="189"/>
      <c r="B15" s="196" t="s">
        <v>258</v>
      </c>
      <c r="C15" s="2">
        <v>0</v>
      </c>
      <c r="D15" s="196" t="s">
        <v>2</v>
      </c>
      <c r="E15" s="184">
        <v>0</v>
      </c>
      <c r="F15" s="196" t="s">
        <v>11</v>
      </c>
      <c r="G15" s="168">
        <f t="shared" si="0"/>
        <v>0</v>
      </c>
      <c r="H15" s="200" t="s">
        <v>13</v>
      </c>
      <c r="I15" s="168">
        <f t="shared" si="1"/>
        <v>0</v>
      </c>
      <c r="J15" s="200" t="s">
        <v>17</v>
      </c>
      <c r="K15" s="189"/>
      <c r="L15" s="189"/>
      <c r="N15" s="171"/>
    </row>
    <row r="16" spans="1:14" ht="13.5">
      <c r="A16" s="189"/>
      <c r="B16" s="196" t="s">
        <v>259</v>
      </c>
      <c r="C16" s="2">
        <v>0</v>
      </c>
      <c r="D16" s="196" t="s">
        <v>2</v>
      </c>
      <c r="E16" s="184">
        <v>0</v>
      </c>
      <c r="F16" s="196" t="s">
        <v>11</v>
      </c>
      <c r="G16" s="168">
        <f t="shared" si="0"/>
        <v>0</v>
      </c>
      <c r="H16" s="200" t="s">
        <v>13</v>
      </c>
      <c r="I16" s="168">
        <f t="shared" si="1"/>
        <v>0</v>
      </c>
      <c r="J16" s="200" t="s">
        <v>17</v>
      </c>
      <c r="K16" s="189"/>
      <c r="L16" s="189"/>
      <c r="N16" s="171"/>
    </row>
    <row r="17" spans="1:14" ht="13.5">
      <c r="A17" s="189"/>
      <c r="B17" s="196" t="s">
        <v>260</v>
      </c>
      <c r="C17" s="2"/>
      <c r="D17" s="196" t="s">
        <v>2</v>
      </c>
      <c r="E17" s="184"/>
      <c r="F17" s="196" t="s">
        <v>11</v>
      </c>
      <c r="G17" s="168">
        <f t="shared" si="0"/>
        <v>0</v>
      </c>
      <c r="H17" s="200" t="s">
        <v>13</v>
      </c>
      <c r="I17" s="168">
        <f t="shared" si="1"/>
        <v>0</v>
      </c>
      <c r="J17" s="200" t="s">
        <v>17</v>
      </c>
      <c r="K17" s="189"/>
      <c r="L17" s="189"/>
      <c r="N17" s="171"/>
    </row>
    <row r="18" spans="1:14" ht="16.5">
      <c r="A18" s="189"/>
      <c r="B18" s="200" t="s">
        <v>272</v>
      </c>
      <c r="C18" s="201">
        <f>SUM(G12:G17)</f>
        <v>60.066</v>
      </c>
      <c r="D18" s="200" t="s">
        <v>12</v>
      </c>
      <c r="E18" s="189"/>
      <c r="F18" s="189"/>
      <c r="G18" s="189"/>
      <c r="H18" s="189"/>
      <c r="I18" s="189"/>
      <c r="J18" s="189"/>
      <c r="K18" s="189"/>
      <c r="L18" s="189"/>
      <c r="N18" s="171"/>
    </row>
    <row r="19" spans="1:14" ht="16.5">
      <c r="A19" s="189"/>
      <c r="B19" s="196" t="s">
        <v>274</v>
      </c>
      <c r="C19" s="2">
        <v>75</v>
      </c>
      <c r="D19" s="196" t="s">
        <v>5</v>
      </c>
      <c r="E19" s="189"/>
      <c r="F19" s="189"/>
      <c r="G19" s="189"/>
      <c r="H19" s="189"/>
      <c r="I19" s="189"/>
      <c r="J19" s="189"/>
      <c r="K19" s="189"/>
      <c r="L19" s="189"/>
      <c r="N19" s="171"/>
    </row>
    <row r="20" spans="1:14" ht="16.5">
      <c r="A20" s="189"/>
      <c r="B20" s="200" t="s">
        <v>273</v>
      </c>
      <c r="C20" s="201">
        <f>Po/Eff</f>
        <v>80.08800000000001</v>
      </c>
      <c r="D20" s="200" t="s">
        <v>12</v>
      </c>
      <c r="E20" s="189"/>
      <c r="F20" s="189"/>
      <c r="G20" s="189"/>
      <c r="H20" s="189"/>
      <c r="I20" s="189"/>
      <c r="J20" s="189"/>
      <c r="K20" s="189"/>
      <c r="L20" s="189"/>
      <c r="N20" s="171"/>
    </row>
    <row r="21" spans="1:14" ht="13.5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N21" s="171"/>
    </row>
    <row r="22" spans="1:14" ht="13.5">
      <c r="A22" s="194" t="s">
        <v>263</v>
      </c>
      <c r="B22" s="194"/>
      <c r="C22" s="194"/>
      <c r="D22" s="194"/>
      <c r="E22" s="194"/>
      <c r="F22" s="194"/>
      <c r="G22" s="194"/>
      <c r="H22" s="194"/>
      <c r="I22" s="194"/>
      <c r="K22" s="189"/>
      <c r="L22" s="189"/>
      <c r="N22" s="171"/>
    </row>
    <row r="23" spans="1:14" ht="16.5">
      <c r="A23" s="189"/>
      <c r="B23" s="196" t="s">
        <v>275</v>
      </c>
      <c r="C23" s="2">
        <v>100</v>
      </c>
      <c r="D23" s="196" t="s">
        <v>8</v>
      </c>
      <c r="E23" s="189"/>
      <c r="F23" s="189"/>
      <c r="G23" s="189"/>
      <c r="H23" s="189"/>
      <c r="I23" s="189"/>
      <c r="J23" s="189"/>
      <c r="K23" s="189"/>
      <c r="L23" s="189"/>
      <c r="N23" s="171"/>
    </row>
    <row r="24" spans="1:14" ht="16.5">
      <c r="A24" s="189"/>
      <c r="B24" s="200" t="s">
        <v>277</v>
      </c>
      <c r="C24" s="168">
        <f>SQRT(2*V_line_min^2-Pin*(1-0.2)/Cdc/fL)</f>
        <v>334.9416665630002</v>
      </c>
      <c r="D24" s="200" t="s">
        <v>2</v>
      </c>
      <c r="E24" s="189"/>
      <c r="F24" s="189"/>
      <c r="G24" s="189"/>
      <c r="H24" s="189"/>
      <c r="I24" s="189"/>
      <c r="J24" s="189"/>
      <c r="K24" s="189"/>
      <c r="L24" s="189"/>
      <c r="N24" s="171"/>
    </row>
    <row r="25" spans="1:14" ht="16.5">
      <c r="A25" s="189"/>
      <c r="B25" s="200" t="s">
        <v>276</v>
      </c>
      <c r="C25" s="168">
        <f>SQRT(2)*V_line_max</f>
        <v>395.9797974644666</v>
      </c>
      <c r="D25" s="200" t="s">
        <v>2</v>
      </c>
      <c r="E25" s="189"/>
      <c r="F25" s="189"/>
      <c r="G25" s="189"/>
      <c r="H25" s="189"/>
      <c r="I25" s="189"/>
      <c r="J25" s="189"/>
      <c r="K25" s="189"/>
      <c r="L25" s="189"/>
      <c r="N25" s="171"/>
    </row>
    <row r="26" spans="1:14" ht="13.5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N26" s="171"/>
    </row>
    <row r="27" spans="1:14" ht="13.5">
      <c r="A27" s="194" t="s">
        <v>18</v>
      </c>
      <c r="B27" s="194"/>
      <c r="C27" s="194"/>
      <c r="D27" s="194"/>
      <c r="E27" s="194"/>
      <c r="F27" s="194"/>
      <c r="G27" s="194"/>
      <c r="H27" s="194"/>
      <c r="I27" s="194"/>
      <c r="J27" s="189"/>
      <c r="K27" s="189"/>
      <c r="L27" s="189"/>
      <c r="N27" s="171"/>
    </row>
    <row r="28" spans="1:14" ht="16.5">
      <c r="A28" s="189"/>
      <c r="B28" s="196" t="s">
        <v>504</v>
      </c>
      <c r="C28" s="305">
        <v>120</v>
      </c>
      <c r="D28" s="196" t="s">
        <v>2</v>
      </c>
      <c r="E28" s="189"/>
      <c r="F28" s="202"/>
      <c r="G28" s="189"/>
      <c r="H28" s="189"/>
      <c r="I28" s="189"/>
      <c r="J28" s="189"/>
      <c r="K28" s="189"/>
      <c r="L28" s="189"/>
      <c r="N28" s="171"/>
    </row>
    <row r="29" spans="1:14" ht="16.5">
      <c r="A29" s="189"/>
      <c r="B29" s="256" t="s">
        <v>505</v>
      </c>
      <c r="C29" s="306">
        <f>VRO/(VRO+Vdc_min)</f>
        <v>0.26377008047334444</v>
      </c>
      <c r="D29" s="200"/>
      <c r="E29" s="189"/>
      <c r="F29" s="189"/>
      <c r="G29" s="189"/>
      <c r="H29" s="189"/>
      <c r="I29" s="189"/>
      <c r="J29" s="189"/>
      <c r="K29" s="189"/>
      <c r="L29" s="189"/>
      <c r="N29" s="171"/>
    </row>
    <row r="30" spans="2:14" ht="16.5">
      <c r="B30" s="196" t="s">
        <v>506</v>
      </c>
      <c r="C30" s="307">
        <v>0.2</v>
      </c>
      <c r="E30" s="308" t="str">
        <f>IF(Dmax&lt;ROUND(C29,3),"--&gt;DCM at minimum input voltage","--&gt;CCM at minimum input voltage")</f>
        <v>--&gt;DCM at minimum input voltage</v>
      </c>
      <c r="K30" s="189"/>
      <c r="L30" s="189"/>
      <c r="N30" s="171"/>
    </row>
    <row r="31" spans="3:14" ht="13.5">
      <c r="C31" s="308" t="str">
        <f>IF(Dmax&gt;ROUND(C29,3),"--&gt;Error!!! Dmax can not be larger than Dmc","==&gt;OK")</f>
        <v>==&gt;OK</v>
      </c>
      <c r="K31" s="189"/>
      <c r="L31" s="189"/>
      <c r="N31" s="171"/>
    </row>
    <row r="32" spans="1:14" ht="16.5">
      <c r="A32" s="189"/>
      <c r="B32" s="200" t="s">
        <v>278</v>
      </c>
      <c r="C32" s="168">
        <f>Vdc_max+VRO</f>
        <v>515.9797974644666</v>
      </c>
      <c r="D32" s="200" t="s">
        <v>2</v>
      </c>
      <c r="E32" s="189"/>
      <c r="F32" s="189"/>
      <c r="G32" s="189"/>
      <c r="H32" s="189"/>
      <c r="I32" s="189"/>
      <c r="J32" s="189"/>
      <c r="K32" s="189"/>
      <c r="L32" s="189"/>
      <c r="N32" s="171"/>
    </row>
    <row r="33" spans="1:14" ht="13.5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N33" s="171"/>
    </row>
    <row r="34" spans="1:14" ht="13.5">
      <c r="A34" s="194" t="s">
        <v>40</v>
      </c>
      <c r="B34" s="194"/>
      <c r="C34" s="194"/>
      <c r="D34" s="194"/>
      <c r="E34" s="194"/>
      <c r="F34" s="194"/>
      <c r="G34" s="194"/>
      <c r="H34" s="194"/>
      <c r="I34" s="194"/>
      <c r="J34" s="189"/>
      <c r="K34" s="189"/>
      <c r="L34" s="189"/>
      <c r="N34" s="171"/>
    </row>
    <row r="35" spans="1:14" ht="16.5">
      <c r="A35" s="189"/>
      <c r="B35" s="196" t="s">
        <v>279</v>
      </c>
      <c r="C35" s="2">
        <v>65</v>
      </c>
      <c r="D35" s="196" t="s">
        <v>507</v>
      </c>
      <c r="E35" s="196"/>
      <c r="F35" s="196"/>
      <c r="G35" s="196"/>
      <c r="H35" s="189"/>
      <c r="I35" s="189"/>
      <c r="J35" s="189"/>
      <c r="K35" s="189"/>
      <c r="L35" s="189"/>
      <c r="N35" s="171"/>
    </row>
    <row r="36" spans="1:14" ht="16.5">
      <c r="A36" s="189"/>
      <c r="B36" s="196" t="s">
        <v>292</v>
      </c>
      <c r="C36" s="2">
        <v>0.8</v>
      </c>
      <c r="D36" s="196"/>
      <c r="E36" s="189"/>
      <c r="F36" s="189"/>
      <c r="G36" s="189"/>
      <c r="H36" s="189"/>
      <c r="I36" s="189"/>
      <c r="J36" s="189"/>
      <c r="K36" s="189"/>
      <c r="L36" s="189"/>
      <c r="N36" s="171"/>
    </row>
    <row r="37" spans="1:14" ht="16.5">
      <c r="A37" s="189"/>
      <c r="B37" s="200" t="s">
        <v>280</v>
      </c>
      <c r="C37" s="168">
        <f>(Vdc_min*Dmax)^2/(2*Pin*fs*KRF)*1000000</f>
        <v>538.7627455952297</v>
      </c>
      <c r="D37" s="200" t="s">
        <v>6</v>
      </c>
      <c r="E37" s="189"/>
      <c r="F37" s="189"/>
      <c r="G37" s="189"/>
      <c r="H37" s="189"/>
      <c r="I37" s="189"/>
      <c r="J37" s="189"/>
      <c r="K37" s="189"/>
      <c r="L37" s="189"/>
      <c r="N37" s="171"/>
    </row>
    <row r="38" spans="1:14" ht="16.5">
      <c r="A38" s="189"/>
      <c r="B38" s="200" t="s">
        <v>281</v>
      </c>
      <c r="C38" s="203">
        <f>Pin/(Vdc_min*Dmax)+Vdc_min*Dmax/(2*Lm*fs)</f>
        <v>2.151992636199606</v>
      </c>
      <c r="D38" s="200" t="s">
        <v>10</v>
      </c>
      <c r="E38" s="189"/>
      <c r="F38" s="189"/>
      <c r="G38" s="189"/>
      <c r="H38" s="189"/>
      <c r="I38" s="189"/>
      <c r="J38" s="189"/>
      <c r="K38" s="189"/>
      <c r="L38" s="189"/>
      <c r="N38" s="171"/>
    </row>
    <row r="39" spans="1:14" ht="16.5">
      <c r="A39" s="189"/>
      <c r="B39" s="200" t="s">
        <v>283</v>
      </c>
      <c r="C39" s="203">
        <f>SQRT((3*(Pin/Vdc_min/Dmax)^2+(Vdc_min*Dmax/Lm/fs/2)^2)*Dmax/3)</f>
        <v>0.5889431001388556</v>
      </c>
      <c r="D39" s="200" t="s">
        <v>10</v>
      </c>
      <c r="E39" s="204"/>
      <c r="F39" s="189">
        <f>SQRT(Pin/VRO^2*Lm*fs)*VRO/(1-SQRT(Pin/VRO^2*Lm*fs))</f>
        <v>94.79369972855105</v>
      </c>
      <c r="G39" s="189"/>
      <c r="H39" s="189"/>
      <c r="I39" s="189"/>
      <c r="J39" s="189"/>
      <c r="K39" s="189"/>
      <c r="L39" s="189"/>
      <c r="N39" s="171"/>
    </row>
    <row r="40" spans="1:14" ht="16.5">
      <c r="A40" s="189"/>
      <c r="B40" s="200" t="s">
        <v>282</v>
      </c>
      <c r="C40" s="168">
        <f>IF(1/(1/SQRT(2*Lm*fs*Pin)-1/VRO)&gt;0,IF(1/(1/SQRT(2*Lm*fs*Pin)-1/VRO)&gt;Vdc_max,Vdc_max,1/(1/SQRT(2*Lm*fs*Pin)-1/VRO)),Vdc_max)</f>
        <v>199.25672418295377</v>
      </c>
      <c r="D40" s="200" t="s">
        <v>2</v>
      </c>
      <c r="E40" s="189"/>
      <c r="F40" s="189"/>
      <c r="G40" s="189"/>
      <c r="H40" s="189"/>
      <c r="I40" s="189"/>
      <c r="J40" s="189"/>
      <c r="L40" s="189"/>
      <c r="N40" s="171"/>
    </row>
    <row r="41" spans="12:14" ht="13.5">
      <c r="L41" s="189"/>
      <c r="N41" s="171"/>
    </row>
    <row r="42" spans="12:14" ht="13.5">
      <c r="L42" s="189"/>
      <c r="N42" s="171"/>
    </row>
    <row r="43" spans="12:14" ht="13.5">
      <c r="L43" s="189"/>
      <c r="N43" s="171"/>
    </row>
    <row r="44" spans="1:14" ht="13.5">
      <c r="A44" s="194" t="s">
        <v>252</v>
      </c>
      <c r="B44" s="194"/>
      <c r="C44" s="194"/>
      <c r="D44" s="194"/>
      <c r="E44" s="194"/>
      <c r="F44" s="194"/>
      <c r="G44" s="194"/>
      <c r="H44" s="194"/>
      <c r="I44" s="194"/>
      <c r="J44" s="189"/>
      <c r="K44" s="189"/>
      <c r="L44" s="189"/>
      <c r="N44" s="171"/>
    </row>
    <row r="45" spans="2:14" ht="16.5">
      <c r="B45" s="196" t="s">
        <v>337</v>
      </c>
      <c r="C45" s="184">
        <v>2.5</v>
      </c>
      <c r="D45" s="196" t="s">
        <v>338</v>
      </c>
      <c r="J45" s="189"/>
      <c r="K45" s="189"/>
      <c r="L45" s="189"/>
      <c r="N45" s="171"/>
    </row>
    <row r="46" spans="1:14" ht="16.5">
      <c r="A46" s="189"/>
      <c r="B46" s="256" t="s">
        <v>342</v>
      </c>
      <c r="C46" s="203">
        <f>Ilim*0.88</f>
        <v>2.2</v>
      </c>
      <c r="D46" s="200" t="s">
        <v>10</v>
      </c>
      <c r="E46" s="255" t="s">
        <v>339</v>
      </c>
      <c r="F46" s="336">
        <f>Ipk</f>
        <v>2.151992636199606</v>
      </c>
      <c r="G46" s="337"/>
      <c r="H46" s="205" t="s">
        <v>10</v>
      </c>
      <c r="I46" s="189"/>
      <c r="J46" s="189"/>
      <c r="K46" s="189"/>
      <c r="L46" s="189"/>
      <c r="N46" s="171"/>
    </row>
    <row r="47" spans="1:14" ht="13.5">
      <c r="A47" s="189"/>
      <c r="B47" s="189"/>
      <c r="C47" s="206" t="str">
        <f>IF(C46&lt;F46,"-&gt;Higher current limit is required !!!","-&gt;O.K.")</f>
        <v>-&gt;O.K.</v>
      </c>
      <c r="D47" s="189"/>
      <c r="E47" s="189"/>
      <c r="F47" s="189"/>
      <c r="G47" s="189"/>
      <c r="H47" s="189"/>
      <c r="I47" s="189"/>
      <c r="J47" s="189"/>
      <c r="K47" s="189"/>
      <c r="L47" s="189"/>
      <c r="N47" s="171"/>
    </row>
    <row r="48" spans="1:14" ht="13.5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N48" s="171"/>
    </row>
    <row r="49" spans="1:14" ht="13.5">
      <c r="A49" s="194" t="s">
        <v>264</v>
      </c>
      <c r="B49" s="194"/>
      <c r="C49" s="194"/>
      <c r="D49" s="194"/>
      <c r="E49" s="194"/>
      <c r="F49" s="194"/>
      <c r="G49" s="194"/>
      <c r="H49" s="194"/>
      <c r="I49" s="194"/>
      <c r="J49" s="189"/>
      <c r="K49" s="189"/>
      <c r="L49" s="189"/>
      <c r="N49" s="171"/>
    </row>
    <row r="50" spans="1:14" ht="16.5">
      <c r="A50" s="189"/>
      <c r="B50" s="196" t="s">
        <v>284</v>
      </c>
      <c r="C50" s="184">
        <v>0.32</v>
      </c>
      <c r="D50" s="196" t="s">
        <v>20</v>
      </c>
      <c r="E50" s="204"/>
      <c r="F50" s="189"/>
      <c r="G50" s="189"/>
      <c r="H50" s="189"/>
      <c r="I50" s="189"/>
      <c r="J50" s="189"/>
      <c r="K50" s="189"/>
      <c r="L50" s="189"/>
      <c r="N50" s="171"/>
    </row>
    <row r="51" spans="1:14" ht="16.5">
      <c r="A51" s="189"/>
      <c r="B51" s="196" t="s">
        <v>285</v>
      </c>
      <c r="C51" s="2">
        <v>109</v>
      </c>
      <c r="D51" s="196" t="s">
        <v>19</v>
      </c>
      <c r="E51" s="204"/>
      <c r="F51" s="189"/>
      <c r="G51" s="189"/>
      <c r="H51" s="189"/>
      <c r="I51" s="189"/>
      <c r="J51" s="189"/>
      <c r="K51" s="189"/>
      <c r="L51" s="171"/>
      <c r="N51" s="171"/>
    </row>
    <row r="52" spans="1:14" ht="16.5">
      <c r="A52" s="189"/>
      <c r="B52" s="200" t="s">
        <v>335</v>
      </c>
      <c r="C52" s="201">
        <f>Lm*Ilim/Bsat/Ae*1000000</f>
        <v>38.615449082226895</v>
      </c>
      <c r="D52" s="200" t="s">
        <v>20</v>
      </c>
      <c r="E52" s="204"/>
      <c r="F52" s="189"/>
      <c r="G52" s="189"/>
      <c r="H52" s="189"/>
      <c r="I52" s="189"/>
      <c r="J52" s="189"/>
      <c r="K52" s="189"/>
      <c r="L52" s="171"/>
      <c r="N52" s="171"/>
    </row>
    <row r="53" spans="1:14" ht="13.5">
      <c r="A53" s="189"/>
      <c r="B53" s="189"/>
      <c r="C53" s="189"/>
      <c r="D53" s="189"/>
      <c r="E53" s="189"/>
      <c r="F53" s="205"/>
      <c r="G53" s="205"/>
      <c r="H53" s="205"/>
      <c r="I53" s="205"/>
      <c r="J53" s="189"/>
      <c r="K53" s="196"/>
      <c r="L53" s="171"/>
      <c r="N53" s="171"/>
    </row>
    <row r="54" spans="1:14" ht="13.5">
      <c r="A54" s="194" t="s">
        <v>336</v>
      </c>
      <c r="B54" s="194"/>
      <c r="C54" s="194"/>
      <c r="D54" s="194"/>
      <c r="E54" s="194"/>
      <c r="F54" s="194"/>
      <c r="G54" s="194"/>
      <c r="H54" s="194"/>
      <c r="I54" s="194"/>
      <c r="J54" s="189"/>
      <c r="K54" s="189"/>
      <c r="L54" s="171"/>
      <c r="N54" s="171"/>
    </row>
    <row r="55" spans="1:14" ht="13.5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L55" s="171"/>
      <c r="N55" s="171"/>
    </row>
    <row r="56" spans="1:14" ht="16.5">
      <c r="A56" s="189"/>
      <c r="B56" s="198"/>
      <c r="C56" s="199" t="s">
        <v>288</v>
      </c>
      <c r="D56" s="198"/>
      <c r="E56" s="199" t="s">
        <v>286</v>
      </c>
      <c r="F56" s="198"/>
      <c r="G56" s="198"/>
      <c r="H56" s="199" t="s">
        <v>25</v>
      </c>
      <c r="I56" s="199"/>
      <c r="J56" s="199"/>
      <c r="L56" s="171"/>
      <c r="N56" s="171"/>
    </row>
    <row r="57" spans="1:14" ht="13.5">
      <c r="A57" s="189"/>
      <c r="B57" s="200" t="s">
        <v>314</v>
      </c>
      <c r="C57" s="2">
        <v>14</v>
      </c>
      <c r="D57" s="196" t="s">
        <v>21</v>
      </c>
      <c r="E57" s="2">
        <v>0.5</v>
      </c>
      <c r="F57" s="196" t="s">
        <v>21</v>
      </c>
      <c r="G57" s="252">
        <f>Ns1*(Vcc+VFC)/(Vo1+VF1)</f>
        <v>4.7007481296758105</v>
      </c>
      <c r="H57" s="208" t="s">
        <v>23</v>
      </c>
      <c r="I57" s="209">
        <f>ROUND(G57,0)</f>
        <v>5</v>
      </c>
      <c r="J57" s="200" t="s">
        <v>24</v>
      </c>
      <c r="L57" s="171"/>
      <c r="N57" s="171"/>
    </row>
    <row r="58" spans="1:14" ht="13.5">
      <c r="A58" s="189"/>
      <c r="B58" s="200" t="s">
        <v>271</v>
      </c>
      <c r="C58" s="210">
        <f>Vo1</f>
        <v>200</v>
      </c>
      <c r="D58" s="256" t="s">
        <v>2</v>
      </c>
      <c r="E58" s="2">
        <v>0.5</v>
      </c>
      <c r="F58" s="196" t="s">
        <v>21</v>
      </c>
      <c r="G58" s="185">
        <v>65</v>
      </c>
      <c r="H58" s="208" t="s">
        <v>23</v>
      </c>
      <c r="I58" s="209">
        <f aca="true" t="shared" si="2" ref="I58:I63">ROUND(G58,0)</f>
        <v>65</v>
      </c>
      <c r="J58" s="200" t="s">
        <v>24</v>
      </c>
      <c r="L58" s="171"/>
      <c r="N58" s="171"/>
    </row>
    <row r="59" spans="1:14" ht="13.5">
      <c r="A59" s="189"/>
      <c r="B59" s="200" t="s">
        <v>315</v>
      </c>
      <c r="C59" s="210">
        <f>Vo2</f>
        <v>3.3</v>
      </c>
      <c r="D59" s="256" t="s">
        <v>2</v>
      </c>
      <c r="E59" s="2">
        <v>0.5</v>
      </c>
      <c r="F59" s="196" t="s">
        <v>21</v>
      </c>
      <c r="G59" s="252">
        <f>Ns1*(Vo2+VF2)/(Vo1+VF1)</f>
        <v>1.231920199501247</v>
      </c>
      <c r="H59" s="208" t="s">
        <v>23</v>
      </c>
      <c r="I59" s="209">
        <f t="shared" si="2"/>
        <v>1</v>
      </c>
      <c r="J59" s="200" t="s">
        <v>24</v>
      </c>
      <c r="L59" s="171"/>
      <c r="N59" s="171"/>
    </row>
    <row r="60" spans="1:14" ht="13.5">
      <c r="A60" s="189"/>
      <c r="B60" s="200" t="s">
        <v>257</v>
      </c>
      <c r="C60" s="210">
        <f>Vo3</f>
        <v>0</v>
      </c>
      <c r="D60" s="256" t="s">
        <v>2</v>
      </c>
      <c r="E60" s="2">
        <v>0.3</v>
      </c>
      <c r="F60" s="196" t="s">
        <v>21</v>
      </c>
      <c r="G60" s="252">
        <f>Ns1*(Vo3+VF3)/(Vo1+VF1)</f>
        <v>0.09725685785536159</v>
      </c>
      <c r="H60" s="208" t="s">
        <v>23</v>
      </c>
      <c r="I60" s="209">
        <f t="shared" si="2"/>
        <v>0</v>
      </c>
      <c r="J60" s="200" t="s">
        <v>24</v>
      </c>
      <c r="L60" s="171"/>
      <c r="N60" s="171"/>
    </row>
    <row r="61" spans="1:14" ht="13.5">
      <c r="A61" s="189"/>
      <c r="B61" s="200" t="s">
        <v>258</v>
      </c>
      <c r="C61" s="210">
        <f>Vo4</f>
        <v>0</v>
      </c>
      <c r="D61" s="256" t="s">
        <v>2</v>
      </c>
      <c r="E61" s="2">
        <v>0</v>
      </c>
      <c r="F61" s="196" t="s">
        <v>21</v>
      </c>
      <c r="G61" s="252">
        <f>Ns1*(Vo4+VF4)/(Vo1+VF1)</f>
        <v>0</v>
      </c>
      <c r="H61" s="208" t="s">
        <v>23</v>
      </c>
      <c r="I61" s="209">
        <f t="shared" si="2"/>
        <v>0</v>
      </c>
      <c r="J61" s="200" t="s">
        <v>24</v>
      </c>
      <c r="L61" s="171"/>
      <c r="N61" s="171"/>
    </row>
    <row r="62" spans="1:14" ht="13.5">
      <c r="A62" s="189"/>
      <c r="B62" s="200" t="s">
        <v>259</v>
      </c>
      <c r="C62" s="210">
        <f>Vo5</f>
        <v>0</v>
      </c>
      <c r="D62" s="256" t="s">
        <v>2</v>
      </c>
      <c r="E62" s="2">
        <v>0</v>
      </c>
      <c r="F62" s="196" t="s">
        <v>21</v>
      </c>
      <c r="G62" s="252">
        <f>Ns1*(Vo5+VF5)/(Vo1+VF1)</f>
        <v>0</v>
      </c>
      <c r="H62" s="208" t="s">
        <v>23</v>
      </c>
      <c r="I62" s="209">
        <f t="shared" si="2"/>
        <v>0</v>
      </c>
      <c r="J62" s="200" t="s">
        <v>24</v>
      </c>
      <c r="L62" s="189"/>
      <c r="N62" s="171"/>
    </row>
    <row r="63" spans="1:14" ht="13.5">
      <c r="A63" s="189"/>
      <c r="B63" s="200" t="s">
        <v>260</v>
      </c>
      <c r="C63" s="211">
        <f>Vo6</f>
        <v>0</v>
      </c>
      <c r="D63" s="256" t="s">
        <v>2</v>
      </c>
      <c r="E63" s="2">
        <v>0</v>
      </c>
      <c r="F63" s="196" t="s">
        <v>21</v>
      </c>
      <c r="G63" s="252">
        <f>Ns1*(Vo6+VF6)/(Vo1+VF1)</f>
        <v>0</v>
      </c>
      <c r="H63" s="208" t="s">
        <v>23</v>
      </c>
      <c r="I63" s="209">
        <f t="shared" si="2"/>
        <v>0</v>
      </c>
      <c r="J63" s="200" t="s">
        <v>24</v>
      </c>
      <c r="L63" s="189"/>
      <c r="N63" s="171"/>
    </row>
    <row r="64" spans="1:12" ht="16.5">
      <c r="A64" s="189"/>
      <c r="B64" s="212" t="s">
        <v>22</v>
      </c>
      <c r="C64" s="189"/>
      <c r="D64" s="189"/>
      <c r="E64" s="213" t="s">
        <v>287</v>
      </c>
      <c r="F64" s="213"/>
      <c r="G64" s="213"/>
      <c r="H64" s="213"/>
      <c r="I64" s="168">
        <f>VRO/(C58+E58)*Ns1</f>
        <v>38.902743142144644</v>
      </c>
      <c r="J64" s="200" t="s">
        <v>24</v>
      </c>
      <c r="L64" s="189"/>
    </row>
    <row r="65" spans="1:12" ht="13.5">
      <c r="A65" s="189"/>
      <c r="B65" s="189"/>
      <c r="C65" s="189"/>
      <c r="D65" s="207"/>
      <c r="E65" s="206" t="str">
        <f>IF(I64&lt;C52,"---&gt;More turns required !!!","---&gt;enough turns")</f>
        <v>---&gt;enough turns</v>
      </c>
      <c r="F65" s="206"/>
      <c r="G65" s="206"/>
      <c r="H65" s="206"/>
      <c r="I65" s="206"/>
      <c r="J65" s="189"/>
      <c r="L65" s="189"/>
    </row>
    <row r="66" spans="1:12" ht="15.75">
      <c r="A66" s="189"/>
      <c r="B66" s="196" t="s">
        <v>343</v>
      </c>
      <c r="C66" s="2">
        <v>6400</v>
      </c>
      <c r="D66" s="189" t="s">
        <v>37</v>
      </c>
      <c r="E66" s="189"/>
      <c r="F66" s="189"/>
      <c r="G66" s="189"/>
      <c r="H66" s="189"/>
      <c r="I66" s="189"/>
      <c r="J66" s="206"/>
      <c r="K66" s="189"/>
      <c r="L66" s="189"/>
    </row>
    <row r="67" spans="1:12" ht="13.5">
      <c r="A67" s="189"/>
      <c r="B67" s="200" t="s">
        <v>316</v>
      </c>
      <c r="C67" s="209">
        <f>0.4*3.14*Ae*(Np^2/10^9/Lm-1/AL)</f>
        <v>0.36318196359173166</v>
      </c>
      <c r="D67" s="200" t="s">
        <v>26</v>
      </c>
      <c r="E67" s="189"/>
      <c r="F67" s="189"/>
      <c r="G67" s="189"/>
      <c r="H67" s="189"/>
      <c r="I67" s="189"/>
      <c r="J67" s="189"/>
      <c r="K67" s="189"/>
      <c r="L67" s="189"/>
    </row>
    <row r="68" spans="1:12" ht="13.5">
      <c r="A68" s="189"/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</row>
    <row r="69" spans="1:12" ht="13.5">
      <c r="A69" s="194" t="s">
        <v>265</v>
      </c>
      <c r="B69" s="194"/>
      <c r="C69" s="194"/>
      <c r="D69" s="194"/>
      <c r="E69" s="194"/>
      <c r="F69" s="194"/>
      <c r="G69" s="194"/>
      <c r="H69" s="194"/>
      <c r="I69" s="194"/>
      <c r="J69" s="189"/>
      <c r="K69" s="189"/>
      <c r="L69" s="189"/>
    </row>
    <row r="70" spans="1:12" ht="13.5">
      <c r="A70" s="189"/>
      <c r="B70" s="214"/>
      <c r="C70" s="215"/>
      <c r="D70" s="216"/>
      <c r="E70" s="216"/>
      <c r="F70" s="189"/>
      <c r="G70" s="189"/>
      <c r="H70" s="189"/>
      <c r="I70" s="189"/>
      <c r="J70" s="189"/>
      <c r="K70" s="189"/>
      <c r="L70" s="189"/>
    </row>
    <row r="71" spans="1:12" ht="16.5">
      <c r="A71" s="189"/>
      <c r="B71" s="198"/>
      <c r="C71" s="199" t="s">
        <v>27</v>
      </c>
      <c r="D71" s="199"/>
      <c r="E71" s="217" t="s">
        <v>30</v>
      </c>
      <c r="F71" s="217"/>
      <c r="G71" s="199" t="s">
        <v>293</v>
      </c>
      <c r="H71" s="199"/>
      <c r="I71" s="218" t="s">
        <v>31</v>
      </c>
      <c r="J71" s="219"/>
      <c r="K71" s="189"/>
      <c r="L71" s="189"/>
    </row>
    <row r="72" spans="1:12" ht="13.5">
      <c r="A72" s="189"/>
      <c r="B72" s="200" t="s">
        <v>317</v>
      </c>
      <c r="C72" s="186">
        <v>0.32</v>
      </c>
      <c r="D72" s="196" t="s">
        <v>26</v>
      </c>
      <c r="E72" s="186">
        <v>1</v>
      </c>
      <c r="F72" s="189" t="s">
        <v>20</v>
      </c>
      <c r="G72" s="234">
        <f>Irms</f>
        <v>0.5889431001388556</v>
      </c>
      <c r="H72" s="200" t="s">
        <v>10</v>
      </c>
      <c r="I72" s="234">
        <f>G72/E72/(3.14/4*C72^2)</f>
        <v>7.3266209710745365</v>
      </c>
      <c r="J72" s="190"/>
      <c r="K72" s="189"/>
      <c r="L72" s="189"/>
    </row>
    <row r="73" spans="1:13" ht="13.5">
      <c r="A73" s="189"/>
      <c r="B73" s="200" t="s">
        <v>318</v>
      </c>
      <c r="C73" s="186">
        <v>0.16</v>
      </c>
      <c r="D73" s="196" t="s">
        <v>26</v>
      </c>
      <c r="E73" s="186">
        <v>1</v>
      </c>
      <c r="F73" s="189" t="s">
        <v>28</v>
      </c>
      <c r="G73" s="234">
        <v>0.1</v>
      </c>
      <c r="H73" s="200" t="s">
        <v>10</v>
      </c>
      <c r="I73" s="234">
        <f aca="true" t="shared" si="3" ref="I73:I78">G73/E73/(3.14/4*C73^2)</f>
        <v>4.976114649681528</v>
      </c>
      <c r="J73" s="190"/>
      <c r="K73" s="189"/>
      <c r="L73" s="189"/>
      <c r="M73" s="171"/>
    </row>
    <row r="74" spans="1:13" ht="13.5">
      <c r="A74" s="189"/>
      <c r="B74" s="200" t="str">
        <f>CONCATENATE("1st output winding (",(Vo1),"V)")</f>
        <v>1st output winding (200V)</v>
      </c>
      <c r="C74" s="186">
        <v>0.32</v>
      </c>
      <c r="D74" s="196" t="s">
        <v>26</v>
      </c>
      <c r="E74" s="186">
        <v>1</v>
      </c>
      <c r="F74" s="189" t="s">
        <v>28</v>
      </c>
      <c r="G74" s="234">
        <f>Irms*SQRT((1-Dmax)/Dmax)*VRO*KL1/(Vo1+VF1)</f>
        <v>0.7041946827732654</v>
      </c>
      <c r="H74" s="200" t="s">
        <v>10</v>
      </c>
      <c r="I74" s="234">
        <f t="shared" si="3"/>
        <v>8.760383692939705</v>
      </c>
      <c r="J74" s="190"/>
      <c r="K74" s="189"/>
      <c r="L74" s="189"/>
      <c r="M74" s="171"/>
    </row>
    <row r="75" spans="1:13" ht="13.5">
      <c r="A75" s="189"/>
      <c r="B75" s="200" t="str">
        <f>CONCATENATE("2nd output winding (",(Vo2),"V)")</f>
        <v>2nd output winding (3.3V)</v>
      </c>
      <c r="C75" s="186">
        <v>0.16</v>
      </c>
      <c r="D75" s="196" t="s">
        <v>26</v>
      </c>
      <c r="E75" s="186">
        <v>1</v>
      </c>
      <c r="F75" s="189" t="s">
        <v>28</v>
      </c>
      <c r="G75" s="234">
        <f>Irms*SQRT((1-Dmax)/Dmax)*VRO*KL2/(Vo2+VF2)</f>
        <v>0.04087108875937992</v>
      </c>
      <c r="H75" s="200" t="s">
        <v>10</v>
      </c>
      <c r="I75" s="234">
        <f t="shared" si="3"/>
        <v>2.0337922352398445</v>
      </c>
      <c r="J75" s="190"/>
      <c r="K75" s="189"/>
      <c r="L75" s="189"/>
      <c r="M75" s="171"/>
    </row>
    <row r="76" spans="1:13" ht="13.5">
      <c r="A76" s="189"/>
      <c r="B76" s="200" t="str">
        <f>CONCATENATE("3rd output winding (",(Vo3),"V)")</f>
        <v>3rd output winding (0V)</v>
      </c>
      <c r="C76" s="186">
        <v>0</v>
      </c>
      <c r="D76" s="196" t="s">
        <v>26</v>
      </c>
      <c r="E76" s="186">
        <v>0</v>
      </c>
      <c r="F76" s="189" t="s">
        <v>28</v>
      </c>
      <c r="G76" s="234">
        <f>Irms*SQRT((1-Dmax)/Dmax)*VRO*KL3/(Vo3+VF3)</f>
        <v>0</v>
      </c>
      <c r="H76" s="200" t="s">
        <v>10</v>
      </c>
      <c r="I76" s="301" t="e">
        <f t="shared" si="3"/>
        <v>#DIV/0!</v>
      </c>
      <c r="J76" s="219"/>
      <c r="K76" s="189"/>
      <c r="L76" s="189"/>
      <c r="M76" s="171"/>
    </row>
    <row r="77" spans="1:13" ht="13.5">
      <c r="A77" s="189"/>
      <c r="B77" s="200" t="str">
        <f>CONCATENATE("4th output winding (",(Vo4),"V)")</f>
        <v>4th output winding (0V)</v>
      </c>
      <c r="C77" s="186">
        <v>0</v>
      </c>
      <c r="D77" s="196" t="s">
        <v>26</v>
      </c>
      <c r="E77" s="186">
        <v>0</v>
      </c>
      <c r="F77" s="189" t="s">
        <v>29</v>
      </c>
      <c r="G77" s="234" t="e">
        <f>Irms*SQRT((1-Dmax)/Dmax)*VRO*KL4/(Vo4+VF4)</f>
        <v>#DIV/0!</v>
      </c>
      <c r="H77" s="200" t="s">
        <v>10</v>
      </c>
      <c r="I77" s="301" t="e">
        <f t="shared" si="3"/>
        <v>#DIV/0!</v>
      </c>
      <c r="J77" s="219"/>
      <c r="K77" s="189"/>
      <c r="L77" s="189"/>
      <c r="M77" s="171"/>
    </row>
    <row r="78" spans="1:13" ht="13.5">
      <c r="A78" s="189"/>
      <c r="B78" s="200" t="str">
        <f>CONCATENATE("5th output winding (",(Vo5),"V)")</f>
        <v>5th output winding (0V)</v>
      </c>
      <c r="C78" s="186">
        <v>0</v>
      </c>
      <c r="D78" s="196" t="s">
        <v>26</v>
      </c>
      <c r="E78" s="186">
        <v>0</v>
      </c>
      <c r="F78" s="189" t="s">
        <v>28</v>
      </c>
      <c r="G78" s="234" t="e">
        <f>Irms*SQRT((1-Dmax)/Dmax)*VRO*KL5/(Vo5+VF5)</f>
        <v>#DIV/0!</v>
      </c>
      <c r="H78" s="200" t="s">
        <v>10</v>
      </c>
      <c r="I78" s="301" t="e">
        <f t="shared" si="3"/>
        <v>#DIV/0!</v>
      </c>
      <c r="J78" s="219"/>
      <c r="K78" s="189"/>
      <c r="L78" s="189"/>
      <c r="M78" s="171"/>
    </row>
    <row r="79" spans="1:12" ht="13.5">
      <c r="A79" s="189"/>
      <c r="B79" s="200" t="str">
        <f>CONCATENATE("6th output winding (",(Vo6),"V)")</f>
        <v>6th output winding (V)</v>
      </c>
      <c r="C79" s="186"/>
      <c r="D79" s="196" t="s">
        <v>26</v>
      </c>
      <c r="E79" s="186"/>
      <c r="F79" s="189" t="s">
        <v>28</v>
      </c>
      <c r="G79" s="234" t="e">
        <f>Irms*SQRT((1-Dmax)/Dmax)*VRO*KL6/(Vo6+VF6)</f>
        <v>#DIV/0!</v>
      </c>
      <c r="H79" s="200" t="s">
        <v>10</v>
      </c>
      <c r="I79" s="301" t="e">
        <f>G79/E79/(3.14/4*C79^2)</f>
        <v>#DIV/0!</v>
      </c>
      <c r="J79" s="219"/>
      <c r="K79" s="189"/>
      <c r="L79" s="189"/>
    </row>
    <row r="80" spans="1:12" ht="16.5">
      <c r="A80" s="221"/>
      <c r="B80" s="225" t="s">
        <v>319</v>
      </c>
      <c r="C80" s="203">
        <f>C72^2/4*3.14*E72*Np+C73^2/4*3.14*E73*Nc+C74^2/4*3.14*E74*Ns1+C75^2/4*3.14*E75*Ns2+C76^2/4*3.14*E76*Ns3+C77^2/4*3.14*E77*Ns4+C78^2/4*3.14*E78*Ns5+C79^2/4*3.14*E79*Ns6</f>
        <v>8.472694104738158</v>
      </c>
      <c r="D80" s="200" t="s">
        <v>32</v>
      </c>
      <c r="E80" s="223"/>
      <c r="F80" s="221"/>
      <c r="G80" s="224"/>
      <c r="H80" s="225"/>
      <c r="I80" s="221"/>
      <c r="J80" s="225"/>
      <c r="K80" s="189"/>
      <c r="L80" s="189"/>
    </row>
    <row r="81" spans="1:12" ht="16.5">
      <c r="A81" s="221"/>
      <c r="B81" s="196" t="s">
        <v>294</v>
      </c>
      <c r="C81" s="2">
        <v>0.2</v>
      </c>
      <c r="D81" s="196"/>
      <c r="E81" s="226"/>
      <c r="F81" s="227"/>
      <c r="G81" s="227"/>
      <c r="H81" s="227"/>
      <c r="I81" s="227"/>
      <c r="J81" s="221"/>
      <c r="K81" s="189"/>
      <c r="L81" s="205"/>
    </row>
    <row r="82" spans="1:13" ht="16.5">
      <c r="A82" s="228"/>
      <c r="B82" s="222" t="s">
        <v>295</v>
      </c>
      <c r="C82" s="203">
        <f>C80/C81</f>
        <v>42.363470523690786</v>
      </c>
      <c r="D82" s="200" t="s">
        <v>32</v>
      </c>
      <c r="E82" s="228"/>
      <c r="F82" s="228"/>
      <c r="G82" s="228"/>
      <c r="H82" s="228"/>
      <c r="I82" s="228"/>
      <c r="J82" s="221"/>
      <c r="K82" s="189"/>
      <c r="L82" s="205"/>
      <c r="M82" s="171"/>
    </row>
    <row r="83" spans="1:12" ht="13.5">
      <c r="A83" s="189"/>
      <c r="B83" s="189"/>
      <c r="C83" s="189"/>
      <c r="D83" s="189"/>
      <c r="E83" s="189"/>
      <c r="F83" s="189"/>
      <c r="G83" s="189"/>
      <c r="H83" s="189"/>
      <c r="I83" s="189"/>
      <c r="J83" s="189"/>
      <c r="K83" s="189"/>
      <c r="L83" s="205"/>
    </row>
    <row r="84" spans="1:12" ht="13.5">
      <c r="A84" s="194" t="s">
        <v>266</v>
      </c>
      <c r="B84" s="194"/>
      <c r="C84" s="194"/>
      <c r="D84" s="194"/>
      <c r="E84" s="194"/>
      <c r="F84" s="194"/>
      <c r="G84" s="194"/>
      <c r="H84" s="194"/>
      <c r="I84" s="194"/>
      <c r="J84" s="189"/>
      <c r="K84" s="189"/>
      <c r="L84" s="189"/>
    </row>
    <row r="85" spans="1:12" ht="13.5">
      <c r="A85" s="189"/>
      <c r="B85" s="214"/>
      <c r="C85" s="215"/>
      <c r="D85" s="216"/>
      <c r="E85" s="216"/>
      <c r="F85" s="189"/>
      <c r="G85" s="189"/>
      <c r="H85" s="189"/>
      <c r="I85" s="189"/>
      <c r="J85" s="189"/>
      <c r="K85" s="189"/>
      <c r="L85" s="189"/>
    </row>
    <row r="86" spans="1:12" ht="16.5">
      <c r="A86" s="189"/>
      <c r="B86" s="198"/>
      <c r="C86" s="199" t="s">
        <v>296</v>
      </c>
      <c r="D86" s="199"/>
      <c r="E86" s="199"/>
      <c r="F86" s="229"/>
      <c r="G86" s="230" t="s">
        <v>297</v>
      </c>
      <c r="H86" s="231"/>
      <c r="I86" s="231"/>
      <c r="J86" s="189"/>
      <c r="K86" s="189"/>
      <c r="L86" s="189"/>
    </row>
    <row r="87" spans="1:12" ht="13.5">
      <c r="A87" s="189"/>
      <c r="B87" s="200" t="s">
        <v>320</v>
      </c>
      <c r="C87" s="232">
        <f>Vcc+SQRT(2)*V_line_max*(Vcc+VFC)/VRO</f>
        <v>61.847558860289716</v>
      </c>
      <c r="D87" s="232"/>
      <c r="E87" s="200" t="s">
        <v>2</v>
      </c>
      <c r="F87" s="189"/>
      <c r="G87" s="220">
        <v>0.1</v>
      </c>
      <c r="H87" s="200" t="s">
        <v>10</v>
      </c>
      <c r="I87" s="233"/>
      <c r="J87" s="205"/>
      <c r="K87" s="205"/>
      <c r="L87" s="189"/>
    </row>
    <row r="88" spans="1:12" ht="13.5">
      <c r="A88" s="189"/>
      <c r="B88" s="200" t="str">
        <f>CONCATENATE("Rectifier diode for 1st output (",(Vo1),"V)")</f>
        <v>Rectifier diode for 1st output (200V)</v>
      </c>
      <c r="C88" s="232">
        <f>Vo1+SQRT(2)*V_line_max*(Vo1+VF1)/VRO</f>
        <v>861.616244930213</v>
      </c>
      <c r="D88" s="232"/>
      <c r="E88" s="200" t="s">
        <v>2</v>
      </c>
      <c r="F88" s="189"/>
      <c r="G88" s="220">
        <f>Io1rms</f>
        <v>0.7041946827732654</v>
      </c>
      <c r="H88" s="200" t="s">
        <v>10</v>
      </c>
      <c r="I88" s="233"/>
      <c r="J88" s="205"/>
      <c r="K88" s="205"/>
      <c r="L88" s="189"/>
    </row>
    <row r="89" spans="1:12" ht="13.5">
      <c r="A89" s="189"/>
      <c r="B89" s="200" t="str">
        <f>CONCATENATE("Rectifier diode for 2nd output (",(Vo2),"V)")</f>
        <v>Rectifier diode for 2nd output (3.3V)</v>
      </c>
      <c r="C89" s="232">
        <f>Vo2+SQRT(2)*V_line_max*(Vo2+VF2)/VRO</f>
        <v>15.839360253041441</v>
      </c>
      <c r="D89" s="232"/>
      <c r="E89" s="200" t="s">
        <v>2</v>
      </c>
      <c r="F89" s="189"/>
      <c r="G89" s="220">
        <f>Io2rms</f>
        <v>0.04087108875937992</v>
      </c>
      <c r="H89" s="200" t="s">
        <v>10</v>
      </c>
      <c r="I89" s="233"/>
      <c r="J89" s="205"/>
      <c r="K89" s="205"/>
      <c r="L89" s="189"/>
    </row>
    <row r="90" spans="1:12" ht="13.5">
      <c r="A90" s="189"/>
      <c r="B90" s="200" t="str">
        <f>CONCATENATE("Rectifier diode for 3rd output (",(Vo3),"V)")</f>
        <v>Rectifier diode for 3rd output (0V)</v>
      </c>
      <c r="C90" s="232">
        <f>Vo3+SQRT(2)*V_line_max*(Vo3+VF3)/VRO</f>
        <v>0.9899494936611665</v>
      </c>
      <c r="D90" s="232"/>
      <c r="E90" s="200" t="s">
        <v>2</v>
      </c>
      <c r="F90" s="189"/>
      <c r="G90" s="220">
        <f>Io3rms</f>
        <v>0</v>
      </c>
      <c r="H90" s="200" t="s">
        <v>10</v>
      </c>
      <c r="I90" s="189"/>
      <c r="J90" s="189"/>
      <c r="K90" s="189"/>
      <c r="L90" s="189"/>
    </row>
    <row r="91" spans="1:13" ht="13.5">
      <c r="A91" s="189"/>
      <c r="B91" s="200" t="str">
        <f>CONCATENATE("Rectifier diode for 4th output (",(Vo4),"V)")</f>
        <v>Rectifier diode for 4th output (0V)</v>
      </c>
      <c r="C91" s="232">
        <f>Vo4+SQRT(2)*V_line_max*(Vo4+VF4)/VRO</f>
        <v>0</v>
      </c>
      <c r="D91" s="232"/>
      <c r="E91" s="200" t="s">
        <v>2</v>
      </c>
      <c r="F91" s="189"/>
      <c r="G91" s="220" t="e">
        <f>Io4rms</f>
        <v>#DIV/0!</v>
      </c>
      <c r="H91" s="200" t="s">
        <v>10</v>
      </c>
      <c r="I91" s="189"/>
      <c r="J91" s="189"/>
      <c r="K91" s="189"/>
      <c r="L91" s="189"/>
      <c r="M91" s="171"/>
    </row>
    <row r="92" spans="1:13" ht="13.5">
      <c r="A92" s="189"/>
      <c r="B92" s="200" t="str">
        <f>CONCATENATE("Rectifier diode for 5th output (",(Vo5),"V)")</f>
        <v>Rectifier diode for 5th output (0V)</v>
      </c>
      <c r="C92" s="232">
        <f>Vo5+SQRT(2)*V_line_max*(Vo5+VF5)/VRO</f>
        <v>0</v>
      </c>
      <c r="D92" s="232"/>
      <c r="E92" s="200" t="s">
        <v>2</v>
      </c>
      <c r="F92" s="189"/>
      <c r="G92" s="220" t="e">
        <f>Io5rms</f>
        <v>#DIV/0!</v>
      </c>
      <c r="H92" s="200" t="s">
        <v>10</v>
      </c>
      <c r="I92" s="189"/>
      <c r="J92" s="189"/>
      <c r="K92" s="189"/>
      <c r="L92" s="189"/>
      <c r="M92" s="171"/>
    </row>
    <row r="93" spans="1:13" ht="13.5" customHeight="1">
      <c r="A93" s="189"/>
      <c r="B93" s="200" t="str">
        <f>CONCATENATE("Rectifier diode for 6th output (",(Vo6),"V)")</f>
        <v>Rectifier diode for 6th output (V)</v>
      </c>
      <c r="C93" s="232">
        <f>Vo6+SQRT(2)*V_line_max*(Vo6+VF6)/VRO</f>
        <v>0</v>
      </c>
      <c r="D93" s="232"/>
      <c r="E93" s="200" t="s">
        <v>2</v>
      </c>
      <c r="F93" s="189"/>
      <c r="G93" s="220" t="e">
        <f>Io6rms</f>
        <v>#DIV/0!</v>
      </c>
      <c r="H93" s="200" t="s">
        <v>10</v>
      </c>
      <c r="I93" s="189"/>
      <c r="J93" s="189"/>
      <c r="K93" s="189"/>
      <c r="L93" s="189"/>
      <c r="M93" s="171"/>
    </row>
    <row r="94" spans="1:13" ht="13.5">
      <c r="A94" s="189"/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71"/>
    </row>
    <row r="95" spans="1:13" ht="13.5">
      <c r="A95" s="194" t="s">
        <v>253</v>
      </c>
      <c r="B95" s="194"/>
      <c r="C95" s="194"/>
      <c r="D95" s="194"/>
      <c r="E95" s="194"/>
      <c r="F95" s="194"/>
      <c r="G95" s="194"/>
      <c r="H95" s="194"/>
      <c r="I95" s="194"/>
      <c r="J95" s="189"/>
      <c r="K95" s="189"/>
      <c r="L95" s="189"/>
      <c r="M95" s="171"/>
    </row>
    <row r="96" spans="1:13" ht="13.5">
      <c r="A96" s="189"/>
      <c r="B96" s="214"/>
      <c r="C96" s="215"/>
      <c r="D96" s="216"/>
      <c r="E96" s="216"/>
      <c r="F96" s="189"/>
      <c r="G96" s="189"/>
      <c r="H96" s="189"/>
      <c r="I96" s="189"/>
      <c r="J96" s="189"/>
      <c r="K96" s="189"/>
      <c r="L96" s="189"/>
      <c r="M96" s="171"/>
    </row>
    <row r="97" spans="1:13" ht="16.5">
      <c r="A97" s="189"/>
      <c r="B97" s="198"/>
      <c r="C97" s="302" t="s">
        <v>298</v>
      </c>
      <c r="D97" s="302"/>
      <c r="E97" s="303" t="s">
        <v>299</v>
      </c>
      <c r="F97" s="303"/>
      <c r="G97" s="304" t="s">
        <v>300</v>
      </c>
      <c r="H97" s="304"/>
      <c r="I97" s="230" t="s">
        <v>301</v>
      </c>
      <c r="J97" s="230"/>
      <c r="K97" s="189"/>
      <c r="L97" s="189"/>
      <c r="M97" s="171"/>
    </row>
    <row r="98" spans="1:13" ht="13.5">
      <c r="A98" s="189"/>
      <c r="B98" s="198"/>
      <c r="C98" s="302"/>
      <c r="D98" s="302"/>
      <c r="E98" s="303"/>
      <c r="F98" s="303"/>
      <c r="G98" s="304"/>
      <c r="H98" s="304"/>
      <c r="I98" s="230"/>
      <c r="J98" s="230"/>
      <c r="K98" s="189"/>
      <c r="L98" s="189"/>
      <c r="M98" s="171"/>
    </row>
    <row r="99" spans="1:13" ht="13.5">
      <c r="A99" s="189"/>
      <c r="B99" s="200" t="str">
        <f>CONCATENATE("Output capacitor for 1st output (",(Vo1),"V)")</f>
        <v>Output capacitor for 1st output (200V)</v>
      </c>
      <c r="C99" s="186">
        <v>200</v>
      </c>
      <c r="D99" s="196" t="s">
        <v>33</v>
      </c>
      <c r="E99" s="186">
        <v>100</v>
      </c>
      <c r="F99" s="216" t="s">
        <v>34</v>
      </c>
      <c r="G99" s="234">
        <f>SQRT(Io1rms^2-Io_1^2)</f>
        <v>0.6370950880725261</v>
      </c>
      <c r="H99" s="235" t="s">
        <v>10</v>
      </c>
      <c r="I99" s="220">
        <f>1000000*Io_1*Dmax/Co_1/fs+Ipk*VRO*Rc_1/1000/(Vo1+VF1)*KL1</f>
        <v>0.13327142722983173</v>
      </c>
      <c r="J99" s="235" t="s">
        <v>2</v>
      </c>
      <c r="K99" s="189"/>
      <c r="L99" s="236"/>
      <c r="M99" s="171"/>
    </row>
    <row r="100" spans="1:13" ht="13.5">
      <c r="A100" s="189"/>
      <c r="B100" s="200" t="str">
        <f>CONCATENATE("Output capacitor for 2nd output (",(Vo2),"V)")</f>
        <v>Output capacitor for 2nd output (3.3V)</v>
      </c>
      <c r="C100" s="186">
        <v>200</v>
      </c>
      <c r="D100" s="196" t="s">
        <v>33</v>
      </c>
      <c r="E100" s="186">
        <v>100</v>
      </c>
      <c r="F100" s="216" t="s">
        <v>34</v>
      </c>
      <c r="G100" s="234">
        <f>SQRT(Io2rms^2-Io_2^2)</f>
        <v>0.03564331489041264</v>
      </c>
      <c r="H100" s="235" t="s">
        <v>10</v>
      </c>
      <c r="I100" s="220">
        <f>1000000*Io_2*Dmax/Co_2/fs+Ipk*VRO*Rc_2/1000/(Vo2+VF2)*KL2</f>
        <v>0.007774821307328181</v>
      </c>
      <c r="J100" s="235" t="s">
        <v>2</v>
      </c>
      <c r="K100" s="189"/>
      <c r="L100" s="236"/>
      <c r="M100" s="171"/>
    </row>
    <row r="101" spans="1:13" ht="13.5">
      <c r="A101" s="189"/>
      <c r="B101" s="200" t="str">
        <f>CONCATENATE("Output capacitor for 3rd output (",(Vo3),"V)")</f>
        <v>Output capacitor for 3rd output (0V)</v>
      </c>
      <c r="C101" s="186">
        <v>0</v>
      </c>
      <c r="D101" s="196" t="s">
        <v>33</v>
      </c>
      <c r="E101" s="186">
        <v>0</v>
      </c>
      <c r="F101" s="216" t="s">
        <v>34</v>
      </c>
      <c r="G101" s="234">
        <f>SQRT(Io3rms^2-Io_3^2)</f>
        <v>0</v>
      </c>
      <c r="H101" s="235" t="s">
        <v>10</v>
      </c>
      <c r="I101" s="220" t="e">
        <f>1000000*Io_3*Dmax/Co_3/fs+Ipk*VRO*Rc_3/1000/(Vo3+VF3)*KL3</f>
        <v>#DIV/0!</v>
      </c>
      <c r="J101" s="235" t="s">
        <v>2</v>
      </c>
      <c r="K101" s="189"/>
      <c r="L101" s="236"/>
      <c r="M101" s="171"/>
    </row>
    <row r="102" spans="1:13" ht="13.5">
      <c r="A102" s="189"/>
      <c r="B102" s="200" t="str">
        <f>CONCATENATE("Output capacitor for 4th output (",(Vo4),"V)")</f>
        <v>Output capacitor for 4th output (0V)</v>
      </c>
      <c r="C102" s="186">
        <v>0</v>
      </c>
      <c r="D102" s="196" t="s">
        <v>33</v>
      </c>
      <c r="E102" s="186">
        <v>0</v>
      </c>
      <c r="F102" s="216" t="s">
        <v>34</v>
      </c>
      <c r="G102" s="234" t="e">
        <f>SQRT(Io4rms^2-Io_4^2)</f>
        <v>#DIV/0!</v>
      </c>
      <c r="H102" s="235" t="s">
        <v>10</v>
      </c>
      <c r="I102" s="220" t="e">
        <f>1000000*Io_4*Dmax/Co_4/fs+Ipk*VRO*Rc_4/1000/(Vo4+VF4)*KL4</f>
        <v>#DIV/0!</v>
      </c>
      <c r="J102" s="235" t="s">
        <v>2</v>
      </c>
      <c r="K102" s="189"/>
      <c r="L102" s="236"/>
      <c r="M102" s="171"/>
    </row>
    <row r="103" spans="1:13" ht="13.5">
      <c r="A103" s="189"/>
      <c r="B103" s="200" t="str">
        <f>CONCATENATE("Output capacitor for 5th output (",(Vo5),"V)")</f>
        <v>Output capacitor for 5th output (0V)</v>
      </c>
      <c r="C103" s="186">
        <v>0</v>
      </c>
      <c r="D103" s="196" t="s">
        <v>33</v>
      </c>
      <c r="E103" s="186">
        <v>0</v>
      </c>
      <c r="F103" s="216" t="s">
        <v>34</v>
      </c>
      <c r="G103" s="234" t="e">
        <f>SQRT(Io5rms^2-Io_5^2)</f>
        <v>#DIV/0!</v>
      </c>
      <c r="H103" s="235" t="s">
        <v>10</v>
      </c>
      <c r="I103" s="220" t="e">
        <f>1000000*Io_5*Dmax/Co_5/fs+Ipk*VRO*Rc_5/1000/(Vo5+VF5)*KL5</f>
        <v>#DIV/0!</v>
      </c>
      <c r="J103" s="235" t="s">
        <v>2</v>
      </c>
      <c r="K103" s="189"/>
      <c r="L103" s="236"/>
      <c r="M103" s="171"/>
    </row>
    <row r="104" spans="1:13" ht="13.5">
      <c r="A104" s="189"/>
      <c r="B104" s="200" t="str">
        <f>CONCATENATE("Output capacitor for 6th output (",(Vo6),"V)")</f>
        <v>Output capacitor for 6th output (V)</v>
      </c>
      <c r="C104" s="186"/>
      <c r="D104" s="196" t="s">
        <v>33</v>
      </c>
      <c r="E104" s="186"/>
      <c r="F104" s="216" t="s">
        <v>34</v>
      </c>
      <c r="G104" s="234" t="e">
        <f>SQRT(Io6rms^2-Io_6^2)</f>
        <v>#DIV/0!</v>
      </c>
      <c r="H104" s="235" t="s">
        <v>10</v>
      </c>
      <c r="I104" s="220" t="e">
        <f>1000000*Io_6*Dmax/Co_6/fs+Ipk*VRO*Rc_6/1000/(Vo6+VF6)*KL6</f>
        <v>#DIV/0!</v>
      </c>
      <c r="J104" s="235" t="s">
        <v>2</v>
      </c>
      <c r="K104" s="189"/>
      <c r="L104" s="236"/>
      <c r="M104" s="171"/>
    </row>
    <row r="105" spans="1:13" ht="13.5">
      <c r="A105" s="189"/>
      <c r="B105" s="189"/>
      <c r="C105" s="189"/>
      <c r="D105" s="189"/>
      <c r="E105" s="189"/>
      <c r="F105" s="189"/>
      <c r="G105" s="189"/>
      <c r="H105" s="189"/>
      <c r="I105" s="189"/>
      <c r="J105" s="189"/>
      <c r="K105" s="189"/>
      <c r="L105" s="236"/>
      <c r="M105" s="171"/>
    </row>
    <row r="106" spans="1:13" ht="13.5">
      <c r="A106" s="194" t="s">
        <v>254</v>
      </c>
      <c r="B106" s="194"/>
      <c r="C106" s="194"/>
      <c r="D106" s="194"/>
      <c r="E106" s="194"/>
      <c r="F106" s="194"/>
      <c r="G106" s="194"/>
      <c r="H106" s="194"/>
      <c r="I106" s="194"/>
      <c r="J106" s="189"/>
      <c r="K106" s="189"/>
      <c r="L106" s="236"/>
      <c r="M106" s="171"/>
    </row>
    <row r="107" spans="1:13" ht="16.5">
      <c r="A107" s="189"/>
      <c r="B107" s="196" t="s">
        <v>302</v>
      </c>
      <c r="C107" s="187">
        <v>5</v>
      </c>
      <c r="D107" s="196" t="s">
        <v>6</v>
      </c>
      <c r="E107" s="189"/>
      <c r="F107" s="189"/>
      <c r="G107" s="189"/>
      <c r="H107" s="189"/>
      <c r="I107" s="189"/>
      <c r="J107" s="189"/>
      <c r="K107" s="189"/>
      <c r="L107" s="236"/>
      <c r="M107" s="171"/>
    </row>
    <row r="108" spans="1:13" ht="16.5">
      <c r="A108" s="189"/>
      <c r="B108" s="196" t="s">
        <v>340</v>
      </c>
      <c r="C108" s="187">
        <v>150</v>
      </c>
      <c r="D108" s="196" t="s">
        <v>2</v>
      </c>
      <c r="E108" s="189"/>
      <c r="F108" s="237"/>
      <c r="G108" s="189"/>
      <c r="H108" s="189"/>
      <c r="I108" s="189"/>
      <c r="J108" s="189"/>
      <c r="K108" s="189"/>
      <c r="L108" s="239"/>
      <c r="M108" s="174"/>
    </row>
    <row r="109" spans="1:13" ht="13.5">
      <c r="A109" s="189"/>
      <c r="B109" s="196" t="s">
        <v>303</v>
      </c>
      <c r="C109" s="187">
        <v>40</v>
      </c>
      <c r="D109" s="196" t="s">
        <v>5</v>
      </c>
      <c r="E109" s="189"/>
      <c r="F109" s="189"/>
      <c r="G109" s="189"/>
      <c r="H109" s="189"/>
      <c r="I109" s="189"/>
      <c r="J109" s="189"/>
      <c r="K109" s="189"/>
      <c r="L109" s="189"/>
      <c r="M109" s="175"/>
    </row>
    <row r="110" spans="1:13" ht="16.5">
      <c r="A110" s="189"/>
      <c r="B110" s="200" t="s">
        <v>321</v>
      </c>
      <c r="C110" s="201">
        <f>Vsn^2/C112/1000</f>
        <v>5.97967508624102</v>
      </c>
      <c r="D110" s="200" t="s">
        <v>35</v>
      </c>
      <c r="E110" s="189"/>
      <c r="F110" s="189"/>
      <c r="G110" s="189"/>
      <c r="H110" s="189"/>
      <c r="I110" s="189"/>
      <c r="J110" s="189"/>
      <c r="K110" s="189"/>
      <c r="L110" s="189"/>
      <c r="M110" s="175"/>
    </row>
    <row r="111" spans="1:13" ht="16.5">
      <c r="A111" s="189"/>
      <c r="B111" s="200" t="s">
        <v>322</v>
      </c>
      <c r="C111" s="201">
        <f>100/C109/C110/1000/fs*10^9</f>
        <v>6.432044869801846</v>
      </c>
      <c r="D111" s="200" t="s">
        <v>38</v>
      </c>
      <c r="E111" s="189"/>
      <c r="F111" s="189"/>
      <c r="G111" s="188">
        <f>VRO/(Vdc_max+VRO)</f>
        <v>0.2325672450543258</v>
      </c>
      <c r="H111" s="189"/>
      <c r="I111" s="189"/>
      <c r="J111" s="189"/>
      <c r="K111" s="189"/>
      <c r="L111" s="241"/>
      <c r="M111" s="175"/>
    </row>
    <row r="112" spans="1:13" ht="16.5">
      <c r="A112" s="189"/>
      <c r="B112" s="200" t="s">
        <v>341</v>
      </c>
      <c r="C112" s="201">
        <f>0.5*Ipk^2*Llk/1000000*fs*Vsn/(Vsn-VRO)</f>
        <v>3.7627462488340795</v>
      </c>
      <c r="D112" s="200" t="s">
        <v>4</v>
      </c>
      <c r="E112" s="238" t="s">
        <v>64</v>
      </c>
      <c r="F112" s="238"/>
      <c r="G112" s="238"/>
      <c r="H112" s="238"/>
      <c r="I112" s="238"/>
      <c r="J112" s="189"/>
      <c r="K112" s="189"/>
      <c r="L112" s="189"/>
      <c r="M112" s="177"/>
    </row>
    <row r="113" spans="1:13" ht="16.5">
      <c r="A113" s="189"/>
      <c r="B113" s="200" t="s">
        <v>323</v>
      </c>
      <c r="C113" s="203">
        <f>IF(Pin/(Vdc_max*G111)+Vdc_max*G111/Lm/fs/2&gt;SQRT(2*Pin/fs/Lm),Pin/(Vdc_max*G111)+Vdc_max*G111/Lm/fs/2,SQRT(2*Pin/fs/Lm))</f>
        <v>2.1845162364578496</v>
      </c>
      <c r="D113" s="200" t="s">
        <v>10</v>
      </c>
      <c r="E113" s="189"/>
      <c r="F113" s="189"/>
      <c r="G113" s="189"/>
      <c r="H113" s="189"/>
      <c r="I113" s="189"/>
      <c r="J113" s="189"/>
      <c r="K113" s="189"/>
      <c r="L113" s="241"/>
      <c r="M113" s="175"/>
    </row>
    <row r="114" spans="1:13" ht="16.5">
      <c r="A114" s="189"/>
      <c r="B114" s="200" t="s">
        <v>324</v>
      </c>
      <c r="C114" s="168">
        <f>(VRO+SQRT(VRO^2+2*C110*Llk*C113^2*fs/1000))/2</f>
        <v>150.75817916893476</v>
      </c>
      <c r="D114" s="200" t="s">
        <v>2</v>
      </c>
      <c r="E114" s="189"/>
      <c r="F114" s="189"/>
      <c r="G114" s="189"/>
      <c r="H114" s="189"/>
      <c r="I114" s="189"/>
      <c r="J114" s="189"/>
      <c r="K114" s="189"/>
      <c r="L114" s="189"/>
      <c r="M114" s="175"/>
    </row>
    <row r="115" spans="1:13" ht="16.5">
      <c r="A115" s="189"/>
      <c r="B115" s="200" t="s">
        <v>325</v>
      </c>
      <c r="C115" s="240">
        <f>Vdc_max+C114</f>
        <v>546.7379766334013</v>
      </c>
      <c r="D115" s="200" t="s">
        <v>2</v>
      </c>
      <c r="E115" s="189"/>
      <c r="F115" s="189"/>
      <c r="G115" s="189"/>
      <c r="H115" s="189"/>
      <c r="I115" s="189"/>
      <c r="J115" s="189"/>
      <c r="K115" s="189"/>
      <c r="L115" s="244"/>
      <c r="M115" s="175"/>
    </row>
    <row r="116" spans="1:13" ht="13.5">
      <c r="A116" s="189"/>
      <c r="B116" s="189"/>
      <c r="C116" s="189"/>
      <c r="D116" s="200"/>
      <c r="E116" s="189"/>
      <c r="F116" s="189"/>
      <c r="G116" s="189"/>
      <c r="H116" s="189"/>
      <c r="I116" s="189"/>
      <c r="J116" s="189"/>
      <c r="K116" s="189"/>
      <c r="L116" s="245"/>
      <c r="M116" s="177"/>
    </row>
    <row r="117" spans="1:13" ht="13.5">
      <c r="A117" s="194" t="s">
        <v>255</v>
      </c>
      <c r="B117" s="194"/>
      <c r="C117" s="194"/>
      <c r="D117" s="194"/>
      <c r="E117" s="194"/>
      <c r="F117" s="194"/>
      <c r="G117" s="194"/>
      <c r="H117" s="194"/>
      <c r="I117" s="194"/>
      <c r="J117" s="189"/>
      <c r="K117" s="189"/>
      <c r="L117" s="244"/>
      <c r="M117" s="175"/>
    </row>
    <row r="118" spans="1:13" ht="13.5">
      <c r="A118" s="189"/>
      <c r="B118" s="189"/>
      <c r="C118" s="189"/>
      <c r="D118" s="189"/>
      <c r="E118" s="189"/>
      <c r="F118" s="189"/>
      <c r="G118" s="189"/>
      <c r="H118" s="189"/>
      <c r="I118" s="189"/>
      <c r="J118" s="189"/>
      <c r="K118" s="242"/>
      <c r="L118" s="244"/>
      <c r="M118" s="174"/>
    </row>
    <row r="119" spans="1:13" ht="13.5">
      <c r="A119" s="189"/>
      <c r="B119" s="254" t="s">
        <v>326</v>
      </c>
      <c r="C119" s="232">
        <f>Ilim*(Vo1^2/Po)/3*VRO/(Vo1+VF1)*Vdc_min/(Vdc_min+2*VRO)</f>
        <v>193.49168026071743</v>
      </c>
      <c r="D119" s="243"/>
      <c r="E119" s="189"/>
      <c r="F119" s="189"/>
      <c r="G119" s="188"/>
      <c r="H119" s="188"/>
      <c r="I119" s="188"/>
      <c r="J119" s="188"/>
      <c r="K119" s="212"/>
      <c r="L119" s="244"/>
      <c r="M119" s="174"/>
    </row>
    <row r="120" spans="1:13" ht="16.5">
      <c r="A120" s="189"/>
      <c r="B120" s="254" t="s">
        <v>330</v>
      </c>
      <c r="C120" s="309">
        <f>1/(Rc_1*Co_1)*10^9</f>
        <v>50000</v>
      </c>
      <c r="D120" s="200" t="s">
        <v>304</v>
      </c>
      <c r="E120" s="200"/>
      <c r="F120" s="253" t="s">
        <v>305</v>
      </c>
      <c r="G120" s="338">
        <f>1/(2*3.14*Rc_1*Co_1)*10^9</f>
        <v>7961.783439490445</v>
      </c>
      <c r="H120" s="338"/>
      <c r="I120" s="200" t="s">
        <v>3</v>
      </c>
      <c r="J120" s="189"/>
      <c r="K120" s="212"/>
      <c r="L120" s="245"/>
      <c r="M120" s="171"/>
    </row>
    <row r="121" spans="1:13" ht="16.5">
      <c r="A121" s="189"/>
      <c r="B121" s="254" t="s">
        <v>331</v>
      </c>
      <c r="C121" s="309">
        <f>Vo1/Io_1/Lm/Dmax*(1-Dmax)^2*(VRO/(Vo1+VF1))^2</f>
        <v>1418387.5154643168</v>
      </c>
      <c r="D121" s="200" t="s">
        <v>304</v>
      </c>
      <c r="E121" s="189"/>
      <c r="F121" s="253" t="s">
        <v>306</v>
      </c>
      <c r="G121" s="338">
        <f>1/(2*3.14)*Vo1/Io_1/Lm/Dmax*(1-Dmax)^2*(VRO/(Vo1+VF1))^2</f>
        <v>225857.88462807584</v>
      </c>
      <c r="H121" s="338"/>
      <c r="I121" s="200" t="s">
        <v>3</v>
      </c>
      <c r="J121" s="189"/>
      <c r="K121" s="212"/>
      <c r="L121" s="244"/>
      <c r="M121" s="171"/>
    </row>
    <row r="122" spans="1:13" ht="16.5">
      <c r="A122" s="189"/>
      <c r="B122" s="254" t="s">
        <v>332</v>
      </c>
      <c r="C122" s="309">
        <f>1/(Vo1^2/Po*Co_1)*10^6</f>
        <v>7.508249999999999</v>
      </c>
      <c r="D122" s="200" t="s">
        <v>304</v>
      </c>
      <c r="E122" s="189"/>
      <c r="F122" s="253" t="s">
        <v>307</v>
      </c>
      <c r="G122" s="338">
        <f>1/(2*3.14*Vo1^2/Po*Co_1)*10^6</f>
        <v>1.1955812101910828</v>
      </c>
      <c r="H122" s="338"/>
      <c r="I122" s="200" t="s">
        <v>3</v>
      </c>
      <c r="J122" s="189"/>
      <c r="K122" s="212"/>
      <c r="L122" s="247"/>
      <c r="M122" s="171"/>
    </row>
    <row r="123" spans="1:13" ht="13.5">
      <c r="A123" s="189"/>
      <c r="B123" s="189"/>
      <c r="C123" s="189"/>
      <c r="D123" s="189"/>
      <c r="E123" s="197"/>
      <c r="F123" s="197"/>
      <c r="G123" s="189"/>
      <c r="H123" s="189"/>
      <c r="I123" s="189"/>
      <c r="J123" s="189"/>
      <c r="K123" s="212"/>
      <c r="L123" s="249"/>
      <c r="M123" s="171"/>
    </row>
    <row r="124" spans="1:13" ht="16.5">
      <c r="A124" s="189"/>
      <c r="B124" s="196" t="s">
        <v>308</v>
      </c>
      <c r="C124" s="2">
        <v>4</v>
      </c>
      <c r="D124" s="196" t="s">
        <v>35</v>
      </c>
      <c r="E124" s="189"/>
      <c r="F124" s="189"/>
      <c r="G124" s="189"/>
      <c r="H124" s="189"/>
      <c r="I124" s="189"/>
      <c r="J124" s="189"/>
      <c r="K124" s="212"/>
      <c r="L124" s="251"/>
      <c r="M124" s="171"/>
    </row>
    <row r="125" spans="1:13" ht="12" customHeight="1">
      <c r="A125" s="189"/>
      <c r="B125" s="254" t="s">
        <v>327</v>
      </c>
      <c r="C125" s="234">
        <f>2.5*R_1/(Vo1-2.5)</f>
        <v>0.05063291139240506</v>
      </c>
      <c r="D125" s="200" t="s">
        <v>35</v>
      </c>
      <c r="E125" s="189"/>
      <c r="F125" s="189"/>
      <c r="G125" s="189"/>
      <c r="H125" s="189"/>
      <c r="I125" s="189"/>
      <c r="J125" s="189"/>
      <c r="K125" s="212"/>
      <c r="L125" s="251"/>
      <c r="M125" s="171"/>
    </row>
    <row r="126" spans="1:13" ht="16.5">
      <c r="A126" s="189"/>
      <c r="B126" s="196" t="s">
        <v>309</v>
      </c>
      <c r="C126" s="2">
        <v>1</v>
      </c>
      <c r="D126" s="196" t="s">
        <v>267</v>
      </c>
      <c r="E126" s="246"/>
      <c r="F126" s="190"/>
      <c r="G126" s="190"/>
      <c r="H126" s="189"/>
      <c r="I126" s="189"/>
      <c r="J126" s="189"/>
      <c r="K126" s="212"/>
      <c r="L126" s="251"/>
      <c r="M126" s="171"/>
    </row>
    <row r="127" spans="1:13" ht="16.5">
      <c r="A127" s="189"/>
      <c r="B127" s="196" t="s">
        <v>310</v>
      </c>
      <c r="C127" s="2">
        <v>1.2</v>
      </c>
      <c r="D127" s="196" t="s">
        <v>267</v>
      </c>
      <c r="E127" s="248"/>
      <c r="F127" s="190"/>
      <c r="G127" s="190"/>
      <c r="H127" s="189"/>
      <c r="I127" s="189"/>
      <c r="J127" s="189"/>
      <c r="K127" s="212"/>
      <c r="L127" s="251"/>
      <c r="M127" s="171"/>
    </row>
    <row r="128" spans="1:13" ht="16.5">
      <c r="A128" s="189"/>
      <c r="B128" s="250" t="s">
        <v>311</v>
      </c>
      <c r="C128" s="2">
        <v>33</v>
      </c>
      <c r="D128" s="250" t="s">
        <v>38</v>
      </c>
      <c r="E128" s="189"/>
      <c r="F128" s="189"/>
      <c r="G128" s="189"/>
      <c r="H128" s="189"/>
      <c r="I128" s="189"/>
      <c r="J128" s="189"/>
      <c r="K128" s="212"/>
      <c r="L128" s="251"/>
      <c r="M128" s="171"/>
    </row>
    <row r="129" spans="1:13" ht="16.5">
      <c r="A129" s="189"/>
      <c r="B129" s="250" t="s">
        <v>312</v>
      </c>
      <c r="C129" s="2">
        <v>47</v>
      </c>
      <c r="D129" s="250" t="s">
        <v>38</v>
      </c>
      <c r="E129" s="189"/>
      <c r="F129" s="189"/>
      <c r="G129" s="189"/>
      <c r="H129" s="189"/>
      <c r="I129" s="189"/>
      <c r="J129" s="189"/>
      <c r="K129" s="212"/>
      <c r="L129" s="251"/>
      <c r="M129" s="171"/>
    </row>
    <row r="130" spans="1:13" ht="16.5">
      <c r="A130" s="189"/>
      <c r="B130" s="250" t="s">
        <v>313</v>
      </c>
      <c r="C130" s="2">
        <v>10</v>
      </c>
      <c r="D130" s="250" t="s">
        <v>35</v>
      </c>
      <c r="E130" s="189"/>
      <c r="F130" s="189"/>
      <c r="G130" s="189"/>
      <c r="H130" s="189"/>
      <c r="I130" s="189"/>
      <c r="J130" s="189"/>
      <c r="K130" s="212"/>
      <c r="L130" s="251"/>
      <c r="M130" s="171"/>
    </row>
    <row r="131" spans="1:13" ht="13.5">
      <c r="A131" s="189"/>
      <c r="B131" s="189"/>
      <c r="C131" s="189"/>
      <c r="D131" s="189"/>
      <c r="E131" s="189"/>
      <c r="F131" s="189"/>
      <c r="G131" s="189"/>
      <c r="H131" s="189"/>
      <c r="I131" s="189"/>
      <c r="J131" s="189"/>
      <c r="K131" s="189"/>
      <c r="L131" s="251"/>
      <c r="M131" s="171"/>
    </row>
    <row r="132" spans="1:13" ht="16.5">
      <c r="A132" s="189"/>
      <c r="B132" s="200" t="s">
        <v>333</v>
      </c>
      <c r="C132" s="310">
        <f>3/(C124*C126*C129)*1000000</f>
        <v>15957.446808510636</v>
      </c>
      <c r="D132" s="200" t="s">
        <v>304</v>
      </c>
      <c r="E132" s="197"/>
      <c r="F132" s="253" t="s">
        <v>334</v>
      </c>
      <c r="G132" s="339">
        <f>3/(2*3.14*C124*C126*C129)*1000000</f>
        <v>2540.994714730993</v>
      </c>
      <c r="H132" s="339"/>
      <c r="I132" s="200" t="s">
        <v>3</v>
      </c>
      <c r="J132" s="189"/>
      <c r="K132" s="212"/>
      <c r="L132" s="251"/>
      <c r="M132" s="171"/>
    </row>
    <row r="133" spans="1:13" ht="16.5">
      <c r="A133" s="189"/>
      <c r="B133" s="254" t="s">
        <v>328</v>
      </c>
      <c r="C133" s="311">
        <f>1/(C129*(C130+C124))*10^6</f>
        <v>1519.756838905775</v>
      </c>
      <c r="D133" s="200" t="s">
        <v>304</v>
      </c>
      <c r="E133" s="189"/>
      <c r="F133" s="253" t="s">
        <v>344</v>
      </c>
      <c r="G133" s="339">
        <f>1/(2*3.14*C129*(C130+C124))*10^6</f>
        <v>241.99949664104696</v>
      </c>
      <c r="H133" s="339"/>
      <c r="I133" s="200" t="s">
        <v>3</v>
      </c>
      <c r="J133" s="189"/>
      <c r="K133" s="212"/>
      <c r="L133" s="251"/>
      <c r="M133" s="171"/>
    </row>
    <row r="134" spans="1:13" ht="16.5">
      <c r="A134" s="189"/>
      <c r="B134" s="254" t="s">
        <v>329</v>
      </c>
      <c r="C134" s="311">
        <f>1/(3*C128)*1000000</f>
        <v>10101.010101010103</v>
      </c>
      <c r="D134" s="200" t="s">
        <v>304</v>
      </c>
      <c r="E134" s="189"/>
      <c r="F134" s="253" t="s">
        <v>345</v>
      </c>
      <c r="G134" s="339">
        <f>1/(2*3.14*3*C128)*1000000</f>
        <v>1608.4410988869588</v>
      </c>
      <c r="H134" s="339"/>
      <c r="I134" s="200" t="s">
        <v>3</v>
      </c>
      <c r="J134" s="189"/>
      <c r="K134" s="212"/>
      <c r="L134" s="251"/>
      <c r="M134" s="171"/>
    </row>
    <row r="135" spans="1:13" ht="13.5">
      <c r="A135" s="189"/>
      <c r="B135" s="212"/>
      <c r="C135" s="212"/>
      <c r="D135" s="212"/>
      <c r="E135" s="257"/>
      <c r="F135" s="212"/>
      <c r="G135" s="212"/>
      <c r="H135" s="212"/>
      <c r="I135" s="212"/>
      <c r="J135" s="212"/>
      <c r="K135" s="212"/>
      <c r="L135" s="251"/>
      <c r="M135" s="171"/>
    </row>
    <row r="136" spans="1:13" ht="13.5">
      <c r="A136" s="189"/>
      <c r="B136" s="242"/>
      <c r="C136" s="242"/>
      <c r="D136" s="242"/>
      <c r="E136" s="242"/>
      <c r="F136" s="242"/>
      <c r="G136" s="242"/>
      <c r="H136" s="242"/>
      <c r="I136" s="242"/>
      <c r="J136" s="242"/>
      <c r="K136" s="257"/>
      <c r="L136" s="251"/>
      <c r="M136" s="171"/>
    </row>
    <row r="137" spans="1:13" ht="13.5">
      <c r="A137" s="189"/>
      <c r="B137" s="242">
        <v>16</v>
      </c>
      <c r="C137" s="242">
        <f aca="true" t="shared" si="4" ref="C137:C156">20*LOG(k_1*SQRT(1+B137^2/fz_1^2)*SQRT(1+B137^2/fzr^2)/SQRT(1+B137^2/fp_1^2))</f>
        <v>23.178263413139675</v>
      </c>
      <c r="D137" s="242">
        <f aca="true" t="shared" si="5" ref="D137:D156">20*LOG(fi/B137*SQRT(1+B137^2/fz^2)/SQRT(1+B137^2/fp^2))</f>
        <v>44.03618881516289</v>
      </c>
      <c r="E137" s="242">
        <f aca="true" t="shared" si="6" ref="E137:E156">SUM(C137:D137)</f>
        <v>67.21445222830256</v>
      </c>
      <c r="F137" s="242"/>
      <c r="G137" s="242">
        <v>16</v>
      </c>
      <c r="H137" s="242">
        <f aca="true" t="shared" si="7" ref="H137:H156">180/3.14*(ATAN(G137/fz_1)-ATAN(G137/fzr)-ATAN(G137/fp_1))</f>
        <v>-85.65892498191505</v>
      </c>
      <c r="I137" s="242">
        <f aca="true" t="shared" si="8" ref="I137:I156">180/3.14*(ATAN(G137/fz)-ATAN(G137/fp))-90</f>
        <v>-86.78564928377436</v>
      </c>
      <c r="J137" s="242">
        <f aca="true" t="shared" si="9" ref="J137:J156">SUM(H137:I137)</f>
        <v>-172.44457426568943</v>
      </c>
      <c r="K137" s="257"/>
      <c r="L137" s="251"/>
      <c r="M137" s="171"/>
    </row>
    <row r="138" spans="1:13" ht="13.5">
      <c r="A138" s="189"/>
      <c r="B138" s="242">
        <v>25</v>
      </c>
      <c r="C138" s="242">
        <f t="shared" si="4"/>
        <v>19.31614899194907</v>
      </c>
      <c r="D138" s="242">
        <f t="shared" si="5"/>
        <v>40.186328895295134</v>
      </c>
      <c r="E138" s="242">
        <f t="shared" si="6"/>
        <v>59.502477887244204</v>
      </c>
      <c r="F138" s="242"/>
      <c r="G138" s="242">
        <v>25</v>
      </c>
      <c r="H138" s="242">
        <f t="shared" si="7"/>
        <v>-87.13262213279029</v>
      </c>
      <c r="I138" s="242">
        <f t="shared" si="8"/>
        <v>-84.9898611669779</v>
      </c>
      <c r="J138" s="242">
        <f t="shared" si="9"/>
        <v>-172.1224832997682</v>
      </c>
      <c r="K138" s="257"/>
      <c r="L138" s="251"/>
      <c r="M138" s="171"/>
    </row>
    <row r="139" spans="1:13" ht="13.5">
      <c r="A139" s="189"/>
      <c r="B139" s="242">
        <v>40</v>
      </c>
      <c r="C139" s="242">
        <f t="shared" si="4"/>
        <v>15.239859281846236</v>
      </c>
      <c r="D139" s="242">
        <f t="shared" si="5"/>
        <v>36.17325049920972</v>
      </c>
      <c r="E139" s="242">
        <f t="shared" si="6"/>
        <v>51.41310978105596</v>
      </c>
      <c r="F139" s="242"/>
      <c r="G139" s="242">
        <v>40</v>
      </c>
      <c r="H139" s="242">
        <f t="shared" si="7"/>
        <v>-88.05490151271522</v>
      </c>
      <c r="I139" s="242">
        <f t="shared" si="8"/>
        <v>-82.0350083027162</v>
      </c>
      <c r="J139" s="242">
        <f t="shared" si="9"/>
        <v>-170.0899098154314</v>
      </c>
      <c r="K139" s="257"/>
      <c r="L139" s="251"/>
      <c r="M139" s="171"/>
    </row>
    <row r="140" spans="1:12" ht="13.5">
      <c r="A140" s="189"/>
      <c r="B140" s="242">
        <v>63</v>
      </c>
      <c r="C140" s="242">
        <f t="shared" si="4"/>
        <v>11.296724995973548</v>
      </c>
      <c r="D140" s="242">
        <f t="shared" si="5"/>
        <v>32.39139304713324</v>
      </c>
      <c r="E140" s="242">
        <f t="shared" si="6"/>
        <v>43.68811804310679</v>
      </c>
      <c r="F140" s="242"/>
      <c r="G140" s="242">
        <v>63</v>
      </c>
      <c r="H140" s="242">
        <f t="shared" si="7"/>
        <v>-88.5202983393999</v>
      </c>
      <c r="I140" s="242">
        <f t="shared" si="8"/>
        <v>-77.64478630422197</v>
      </c>
      <c r="J140" s="242">
        <f t="shared" si="9"/>
        <v>-166.16508464362187</v>
      </c>
      <c r="K140" s="257"/>
      <c r="L140" s="251"/>
    </row>
    <row r="141" spans="1:12" ht="13.5">
      <c r="A141" s="189"/>
      <c r="B141" s="242">
        <v>100</v>
      </c>
      <c r="C141" s="242">
        <f t="shared" si="4"/>
        <v>7.28489271061309</v>
      </c>
      <c r="D141" s="242">
        <f t="shared" si="5"/>
        <v>28.7679773381019</v>
      </c>
      <c r="E141" s="242">
        <f t="shared" si="6"/>
        <v>36.05287004871499</v>
      </c>
      <c r="F141" s="242"/>
      <c r="G141" s="242">
        <v>100</v>
      </c>
      <c r="H141" s="242">
        <f t="shared" si="7"/>
        <v>-88.66573572433285</v>
      </c>
      <c r="I141" s="242">
        <f t="shared" si="8"/>
        <v>-71.0964422846688</v>
      </c>
      <c r="J141" s="242">
        <f t="shared" si="9"/>
        <v>-159.76217800900164</v>
      </c>
      <c r="K141" s="257"/>
      <c r="L141" s="251"/>
    </row>
    <row r="142" spans="1:12" ht="13.5">
      <c r="A142" s="189"/>
      <c r="B142" s="242">
        <v>160</v>
      </c>
      <c r="C142" s="242">
        <f t="shared" si="4"/>
        <v>3.203941119634524</v>
      </c>
      <c r="D142" s="242">
        <f t="shared" si="5"/>
        <v>25.549873857366485</v>
      </c>
      <c r="E142" s="242">
        <f t="shared" si="6"/>
        <v>28.75381497700101</v>
      </c>
      <c r="F142" s="242"/>
      <c r="G142" s="242">
        <v>160</v>
      </c>
      <c r="H142" s="242">
        <f t="shared" si="7"/>
        <v>-88.50606866666693</v>
      </c>
      <c r="I142" s="242">
        <f t="shared" si="8"/>
        <v>-62.19570578533296</v>
      </c>
      <c r="J142" s="242">
        <f t="shared" si="9"/>
        <v>-150.70177445199988</v>
      </c>
      <c r="K142" s="257"/>
      <c r="L142" s="251"/>
    </row>
    <row r="143" spans="1:12" ht="13.5">
      <c r="A143" s="189"/>
      <c r="B143" s="242">
        <v>250</v>
      </c>
      <c r="C143" s="242">
        <f t="shared" si="4"/>
        <v>-0.6697867763127069</v>
      </c>
      <c r="D143" s="242">
        <f t="shared" si="5"/>
        <v>23.191455585263864</v>
      </c>
      <c r="E143" s="242">
        <f t="shared" si="6"/>
        <v>22.521668808951155</v>
      </c>
      <c r="F143" s="242"/>
      <c r="G143" s="242">
        <v>250</v>
      </c>
      <c r="H143" s="242">
        <f t="shared" si="7"/>
        <v>-88.03554892218644</v>
      </c>
      <c r="I143" s="242">
        <f t="shared" si="8"/>
        <v>-52.88435837986804</v>
      </c>
      <c r="J143" s="242">
        <f t="shared" si="9"/>
        <v>-140.91990730205447</v>
      </c>
      <c r="K143" s="257"/>
      <c r="L143" s="251"/>
    </row>
    <row r="144" spans="1:12" ht="13.5">
      <c r="A144" s="189"/>
      <c r="B144" s="242">
        <v>400</v>
      </c>
      <c r="C144" s="242">
        <f t="shared" si="4"/>
        <v>-4.745449431312691</v>
      </c>
      <c r="D144" s="242">
        <f t="shared" si="5"/>
        <v>21.5177534018888</v>
      </c>
      <c r="E144" s="242">
        <f t="shared" si="6"/>
        <v>16.77230397057611</v>
      </c>
      <c r="F144" s="242"/>
      <c r="G144" s="242">
        <v>400</v>
      </c>
      <c r="H144" s="242">
        <f t="shared" si="7"/>
        <v>-87.09825162309016</v>
      </c>
      <c r="I144" s="242">
        <f t="shared" si="8"/>
        <v>-45.116602927819436</v>
      </c>
      <c r="J144" s="242">
        <f t="shared" si="9"/>
        <v>-132.2148545509096</v>
      </c>
      <c r="K144" s="257"/>
      <c r="L144" s="212"/>
    </row>
    <row r="145" spans="1:12" ht="13.5">
      <c r="A145" s="189"/>
      <c r="B145" s="242">
        <v>630</v>
      </c>
      <c r="C145" s="242">
        <f t="shared" si="4"/>
        <v>-8.674857852349719</v>
      </c>
      <c r="D145" s="242">
        <f t="shared" si="5"/>
        <v>20.401653352554753</v>
      </c>
      <c r="E145" s="242">
        <f t="shared" si="6"/>
        <v>11.726795500205034</v>
      </c>
      <c r="F145" s="242"/>
      <c r="G145" s="242">
        <v>630</v>
      </c>
      <c r="H145" s="242">
        <f t="shared" si="7"/>
        <v>-85.57019239665075</v>
      </c>
      <c r="I145" s="242">
        <f t="shared" si="8"/>
        <v>-42.37841182990578</v>
      </c>
      <c r="J145" s="242">
        <f t="shared" si="9"/>
        <v>-127.94860422655654</v>
      </c>
      <c r="K145" s="257"/>
      <c r="L145" s="212"/>
    </row>
    <row r="146" spans="1:12" ht="13.5">
      <c r="A146" s="189"/>
      <c r="B146" s="242">
        <v>1000</v>
      </c>
      <c r="C146" s="242">
        <f t="shared" si="4"/>
        <v>-12.64711679409719</v>
      </c>
      <c r="D146" s="242">
        <f t="shared" si="5"/>
        <v>19.25164544060921</v>
      </c>
      <c r="E146" s="242">
        <f t="shared" si="6"/>
        <v>6.604528646512019</v>
      </c>
      <c r="F146" s="242"/>
      <c r="G146" s="242">
        <v>1000</v>
      </c>
      <c r="H146" s="242">
        <f t="shared" si="7"/>
        <v>-83.06842701086694</v>
      </c>
      <c r="I146" s="242">
        <f t="shared" si="8"/>
        <v>-45.4514662719145</v>
      </c>
      <c r="J146" s="242">
        <f t="shared" si="9"/>
        <v>-128.51989328278142</v>
      </c>
      <c r="K146" s="257"/>
      <c r="L146" s="212"/>
    </row>
    <row r="147" spans="1:12" ht="13.5">
      <c r="A147" s="189"/>
      <c r="B147" s="242">
        <v>1600</v>
      </c>
      <c r="C147" s="242">
        <f t="shared" si="4"/>
        <v>-16.625416101581227</v>
      </c>
      <c r="D147" s="242">
        <f t="shared" si="5"/>
        <v>17.534509566011295</v>
      </c>
      <c r="E147" s="242">
        <f t="shared" si="6"/>
        <v>0.9090934644300681</v>
      </c>
      <c r="F147" s="242"/>
      <c r="G147" s="242">
        <v>1600</v>
      </c>
      <c r="H147" s="242">
        <f t="shared" si="7"/>
        <v>-79.0403276611283</v>
      </c>
      <c r="I147" s="242">
        <f t="shared" si="8"/>
        <v>-53.431500862217106</v>
      </c>
      <c r="J147" s="242">
        <f t="shared" si="9"/>
        <v>-132.4718285233454</v>
      </c>
      <c r="K147" s="257"/>
      <c r="L147" s="212"/>
    </row>
    <row r="148" spans="1:12" ht="13.5">
      <c r="A148" s="189"/>
      <c r="B148" s="242">
        <v>2500</v>
      </c>
      <c r="C148" s="242">
        <f t="shared" si="4"/>
        <v>-20.2650614238962</v>
      </c>
      <c r="D148" s="242">
        <f t="shared" si="5"/>
        <v>15.129304780259158</v>
      </c>
      <c r="E148" s="242">
        <f t="shared" si="6"/>
        <v>-5.135756643637041</v>
      </c>
      <c r="F148" s="242"/>
      <c r="G148" s="242">
        <v>2500</v>
      </c>
      <c r="H148" s="242">
        <f t="shared" si="7"/>
        <v>-73.21160163664213</v>
      </c>
      <c r="I148" s="242">
        <f t="shared" si="8"/>
        <v>-62.75890920488498</v>
      </c>
      <c r="J148" s="242">
        <f t="shared" si="9"/>
        <v>-135.9705108415271</v>
      </c>
      <c r="K148" s="257"/>
      <c r="L148" s="212"/>
    </row>
    <row r="149" spans="1:12" ht="13.5">
      <c r="A149" s="189"/>
      <c r="B149" s="242">
        <v>4000</v>
      </c>
      <c r="C149" s="242">
        <f t="shared" si="4"/>
        <v>-23.77756014649973</v>
      </c>
      <c r="D149" s="242">
        <f t="shared" si="5"/>
        <v>11.875644062598344</v>
      </c>
      <c r="E149" s="242">
        <f t="shared" si="6"/>
        <v>-11.901916083901387</v>
      </c>
      <c r="F149" s="242"/>
      <c r="G149" s="242">
        <v>4000</v>
      </c>
      <c r="H149" s="242">
        <f t="shared" si="7"/>
        <v>-64.35516306350544</v>
      </c>
      <c r="I149" s="242">
        <f t="shared" si="8"/>
        <v>-71.54724649550886</v>
      </c>
      <c r="J149" s="242">
        <f t="shared" si="9"/>
        <v>-135.9024095590143</v>
      </c>
      <c r="K149" s="257"/>
      <c r="L149" s="212"/>
    </row>
    <row r="150" spans="1:12" ht="13.5">
      <c r="A150" s="189"/>
      <c r="B150" s="242">
        <v>6300</v>
      </c>
      <c r="C150" s="242">
        <f t="shared" si="4"/>
        <v>-26.587069167834244</v>
      </c>
      <c r="D150" s="242">
        <f t="shared" si="5"/>
        <v>8.29724251188577</v>
      </c>
      <c r="E150" s="242">
        <f t="shared" si="6"/>
        <v>-18.289826655948474</v>
      </c>
      <c r="F150" s="242"/>
      <c r="G150" s="242">
        <v>6300</v>
      </c>
      <c r="H150" s="242">
        <f t="shared" si="7"/>
        <v>-53.26003728146341</v>
      </c>
      <c r="I150" s="242">
        <f t="shared" si="8"/>
        <v>-77.87152452048348</v>
      </c>
      <c r="J150" s="242">
        <f t="shared" si="9"/>
        <v>-131.13156180194687</v>
      </c>
      <c r="K150" s="257"/>
      <c r="L150" s="212"/>
    </row>
    <row r="151" spans="1:12" ht="13.5">
      <c r="A151" s="189"/>
      <c r="B151" s="242">
        <v>10000</v>
      </c>
      <c r="C151" s="242">
        <f t="shared" si="4"/>
        <v>-28.594619847333874</v>
      </c>
      <c r="D151" s="242">
        <f t="shared" si="5"/>
        <v>4.443505060685153</v>
      </c>
      <c r="E151" s="242">
        <f t="shared" si="6"/>
        <v>-24.15111478664872</v>
      </c>
      <c r="F151" s="242"/>
      <c r="G151" s="242">
        <v>10000</v>
      </c>
      <c r="H151" s="242">
        <f t="shared" si="7"/>
        <v>-41.07516820253109</v>
      </c>
      <c r="I151" s="242">
        <f t="shared" si="8"/>
        <v>-82.2449254869978</v>
      </c>
      <c r="J151" s="242">
        <f t="shared" si="9"/>
        <v>-123.32009368952889</v>
      </c>
      <c r="K151" s="257"/>
      <c r="L151" s="212"/>
    </row>
    <row r="152" spans="1:12" ht="13.5">
      <c r="A152" s="189"/>
      <c r="B152" s="242">
        <v>16000</v>
      </c>
      <c r="C152" s="242">
        <f t="shared" si="4"/>
        <v>-29.7528259274651</v>
      </c>
      <c r="D152" s="242">
        <f t="shared" si="5"/>
        <v>0.4268143462126117</v>
      </c>
      <c r="E152" s="242">
        <f t="shared" si="6"/>
        <v>-29.326011581252487</v>
      </c>
      <c r="F152" s="242"/>
      <c r="G152" s="242">
        <v>16000</v>
      </c>
      <c r="H152" s="242">
        <f t="shared" si="7"/>
        <v>-30.51877590226107</v>
      </c>
      <c r="I152" s="242">
        <f t="shared" si="8"/>
        <v>-85.1235388828699</v>
      </c>
      <c r="J152" s="242">
        <f t="shared" si="9"/>
        <v>-115.64231478513096</v>
      </c>
      <c r="K152" s="257"/>
      <c r="L152" s="212"/>
    </row>
    <row r="153" spans="1:12" ht="13.5">
      <c r="A153" s="189"/>
      <c r="B153" s="242">
        <v>25000</v>
      </c>
      <c r="C153" s="242">
        <f t="shared" si="4"/>
        <v>-30.262947614596342</v>
      </c>
      <c r="D153" s="242">
        <f t="shared" si="5"/>
        <v>-3.424443823659728</v>
      </c>
      <c r="E153" s="242">
        <f t="shared" si="6"/>
        <v>-33.68739143825607</v>
      </c>
      <c r="F153" s="242"/>
      <c r="G153" s="242">
        <v>25000</v>
      </c>
      <c r="H153" s="242">
        <f t="shared" si="7"/>
        <v>-23.990913060574194</v>
      </c>
      <c r="I153" s="242">
        <f t="shared" si="8"/>
        <v>-86.87181699695117</v>
      </c>
      <c r="J153" s="242">
        <f t="shared" si="9"/>
        <v>-110.86273005752537</v>
      </c>
      <c r="K153" s="257"/>
      <c r="L153" s="212"/>
    </row>
    <row r="154" spans="1:12" ht="13.5">
      <c r="A154" s="189"/>
      <c r="B154" s="242">
        <v>40000</v>
      </c>
      <c r="C154" s="242">
        <f t="shared" si="4"/>
        <v>-30.432513487572685</v>
      </c>
      <c r="D154" s="242">
        <f t="shared" si="5"/>
        <v>-7.4961682052563265</v>
      </c>
      <c r="E154" s="242">
        <f t="shared" si="6"/>
        <v>-37.92868169282901</v>
      </c>
      <c r="F154" s="242"/>
      <c r="G154" s="242">
        <v>40000</v>
      </c>
      <c r="H154" s="242">
        <f t="shared" si="7"/>
        <v>-21.309466895605723</v>
      </c>
      <c r="I154" s="242">
        <f t="shared" si="8"/>
        <v>-88.04296077081649</v>
      </c>
      <c r="J154" s="242">
        <f t="shared" si="9"/>
        <v>-109.35242766642222</v>
      </c>
      <c r="K154" s="257"/>
      <c r="L154" s="212"/>
    </row>
    <row r="155" spans="1:12" ht="13.5">
      <c r="A155" s="189"/>
      <c r="B155" s="242">
        <v>63000</v>
      </c>
      <c r="C155" s="242">
        <f t="shared" si="4"/>
        <v>-30.341161213538037</v>
      </c>
      <c r="D155" s="242">
        <f t="shared" si="5"/>
        <v>-11.43768759956738</v>
      </c>
      <c r="E155" s="242">
        <f t="shared" si="6"/>
        <v>-41.77884881310541</v>
      </c>
      <c r="F155" s="242"/>
      <c r="G155" s="242">
        <v>63000</v>
      </c>
      <c r="H155" s="242">
        <f t="shared" si="7"/>
        <v>-22.798910309734026</v>
      </c>
      <c r="I155" s="242">
        <f t="shared" si="8"/>
        <v>-88.7569668275653</v>
      </c>
      <c r="J155" s="242">
        <f t="shared" si="9"/>
        <v>-111.55587713729932</v>
      </c>
      <c r="K155" s="257"/>
      <c r="L155" s="212"/>
    </row>
    <row r="156" spans="1:12" ht="13.5">
      <c r="A156" s="189"/>
      <c r="B156" s="242">
        <v>100000</v>
      </c>
      <c r="C156" s="242">
        <f t="shared" si="4"/>
        <v>-29.93050451675789</v>
      </c>
      <c r="D156" s="242">
        <f t="shared" si="5"/>
        <v>-15.449208761913498</v>
      </c>
      <c r="E156" s="242">
        <f t="shared" si="6"/>
        <v>-45.37971327867139</v>
      </c>
      <c r="F156" s="242"/>
      <c r="G156" s="242">
        <v>100000</v>
      </c>
      <c r="H156" s="242">
        <f t="shared" si="7"/>
        <v>-28.447569017555413</v>
      </c>
      <c r="I156" s="242">
        <f t="shared" si="8"/>
        <v>-89.21676875703298</v>
      </c>
      <c r="J156" s="242">
        <f t="shared" si="9"/>
        <v>-117.66433777458839</v>
      </c>
      <c r="K156" s="257"/>
      <c r="L156" s="212"/>
    </row>
    <row r="157" spans="1:12" ht="13.5">
      <c r="A157" s="189"/>
      <c r="B157" s="242"/>
      <c r="C157" s="242"/>
      <c r="D157" s="242"/>
      <c r="E157" s="242"/>
      <c r="F157" s="242"/>
      <c r="G157" s="242"/>
      <c r="H157" s="242"/>
      <c r="I157" s="242"/>
      <c r="J157" s="242"/>
      <c r="K157" s="257"/>
      <c r="L157" s="189"/>
    </row>
    <row r="158" spans="1:12" ht="13.5">
      <c r="A158" s="189"/>
      <c r="B158" s="212"/>
      <c r="C158" s="212"/>
      <c r="D158" s="212"/>
      <c r="E158" s="212"/>
      <c r="F158" s="212"/>
      <c r="G158" s="212"/>
      <c r="H158" s="212"/>
      <c r="I158" s="212"/>
      <c r="J158" s="212"/>
      <c r="K158" s="212"/>
      <c r="L158" s="189"/>
    </row>
    <row r="159" spans="1:12" ht="13.5">
      <c r="A159" s="189"/>
      <c r="B159" s="189"/>
      <c r="C159" s="189"/>
      <c r="D159" s="189"/>
      <c r="E159" s="189"/>
      <c r="F159" s="189"/>
      <c r="G159" s="189"/>
      <c r="H159" s="189"/>
      <c r="I159" s="189"/>
      <c r="J159" s="189"/>
      <c r="K159" s="212"/>
      <c r="L159" s="189"/>
    </row>
    <row r="160" spans="1:12" ht="13.5">
      <c r="A160" s="189"/>
      <c r="B160" s="189"/>
      <c r="C160" s="189"/>
      <c r="D160" s="189"/>
      <c r="E160" s="189"/>
      <c r="F160" s="189"/>
      <c r="G160" s="189"/>
      <c r="H160" s="189"/>
      <c r="I160" s="189"/>
      <c r="J160" s="189"/>
      <c r="K160" s="212"/>
      <c r="L160" s="189"/>
    </row>
    <row r="161" spans="1:12" ht="13.5">
      <c r="A161" s="189"/>
      <c r="B161" s="189"/>
      <c r="C161" s="189"/>
      <c r="D161" s="189"/>
      <c r="E161" s="189"/>
      <c r="F161" s="189"/>
      <c r="G161" s="212"/>
      <c r="H161" s="212"/>
      <c r="I161" s="212"/>
      <c r="J161" s="212"/>
      <c r="K161" s="212"/>
      <c r="L161" s="189"/>
    </row>
    <row r="162" spans="1:12" ht="13.5">
      <c r="A162" s="204"/>
      <c r="B162" s="189"/>
      <c r="C162" s="189"/>
      <c r="D162" s="189"/>
      <c r="E162" s="189"/>
      <c r="F162" s="204"/>
      <c r="G162" s="204"/>
      <c r="H162" s="204"/>
      <c r="I162" s="204"/>
      <c r="J162" s="204"/>
      <c r="K162" s="189"/>
      <c r="L162" s="189"/>
    </row>
    <row r="163" spans="1:12" ht="13.5">
      <c r="A163" s="228"/>
      <c r="B163" s="189"/>
      <c r="C163" s="189"/>
      <c r="D163" s="189"/>
      <c r="E163" s="189"/>
      <c r="F163" s="228"/>
      <c r="G163" s="228"/>
      <c r="H163" s="228"/>
      <c r="I163" s="228"/>
      <c r="J163" s="242"/>
      <c r="K163" s="189"/>
      <c r="L163" s="189"/>
    </row>
    <row r="164" spans="1:12" ht="13.5">
      <c r="A164" s="189"/>
      <c r="B164" s="189"/>
      <c r="C164" s="189"/>
      <c r="D164" s="189"/>
      <c r="E164" s="189"/>
      <c r="F164" s="189"/>
      <c r="G164" s="189"/>
      <c r="H164" s="189"/>
      <c r="I164" s="189"/>
      <c r="J164" s="189"/>
      <c r="K164" s="189"/>
      <c r="L164" s="189"/>
    </row>
    <row r="165" spans="1:12" ht="13.5">
      <c r="A165" s="189"/>
      <c r="B165" s="189"/>
      <c r="C165" s="189"/>
      <c r="D165" s="189"/>
      <c r="E165" s="189"/>
      <c r="F165" s="189"/>
      <c r="G165" s="189"/>
      <c r="H165" s="189"/>
      <c r="I165" s="189"/>
      <c r="J165" s="189"/>
      <c r="K165" s="189"/>
      <c r="L165" s="189"/>
    </row>
    <row r="166" spans="1:11" ht="13.5">
      <c r="A166" s="194" t="s">
        <v>584</v>
      </c>
      <c r="B166" s="194"/>
      <c r="C166" s="194"/>
      <c r="D166" s="194"/>
      <c r="E166" s="194"/>
      <c r="F166" s="194"/>
      <c r="G166" s="194"/>
      <c r="H166" s="194"/>
      <c r="I166" s="194"/>
      <c r="J166" s="189"/>
      <c r="K166" s="189"/>
    </row>
    <row r="167" spans="1:11" ht="17.25" customHeight="1">
      <c r="A167" s="189"/>
      <c r="B167" s="196" t="s">
        <v>590</v>
      </c>
      <c r="C167" s="187">
        <v>1100</v>
      </c>
      <c r="D167" s="250" t="s">
        <v>583</v>
      </c>
      <c r="E167" s="189"/>
      <c r="F167" s="189"/>
      <c r="G167" s="189"/>
      <c r="H167" s="189"/>
      <c r="I167" s="189"/>
      <c r="J167" s="189"/>
      <c r="K167" s="189"/>
    </row>
    <row r="168" spans="1:11" ht="16.5">
      <c r="A168" s="189"/>
      <c r="B168" s="196" t="s">
        <v>581</v>
      </c>
      <c r="C168" s="187">
        <v>30</v>
      </c>
      <c r="D168" s="196" t="s">
        <v>267</v>
      </c>
      <c r="E168" s="189"/>
      <c r="F168" s="189"/>
      <c r="G168" s="188"/>
      <c r="H168" s="188"/>
      <c r="I168" s="188"/>
      <c r="J168" s="189"/>
      <c r="K168" s="189"/>
    </row>
    <row r="169" spans="1:11" ht="48" customHeight="1">
      <c r="A169" s="189"/>
      <c r="B169" s="331" t="s">
        <v>592</v>
      </c>
      <c r="C169" s="332"/>
      <c r="D169" s="332"/>
      <c r="E169" s="332"/>
      <c r="F169" s="333"/>
      <c r="G169" s="188"/>
      <c r="H169" s="188"/>
      <c r="I169" s="188"/>
      <c r="J169" s="189"/>
      <c r="K169" s="189"/>
    </row>
    <row r="170" spans="1:4" ht="16.5">
      <c r="A170" s="189"/>
      <c r="B170" s="254" t="s">
        <v>582</v>
      </c>
      <c r="C170" s="220">
        <f>(4.7*C168)/(Vcc-4.7)</f>
        <v>15.161290322580644</v>
      </c>
      <c r="D170" s="196" t="s">
        <v>267</v>
      </c>
    </row>
    <row r="171" spans="1:4" ht="16.5">
      <c r="A171" s="189"/>
      <c r="B171" s="254" t="s">
        <v>587</v>
      </c>
      <c r="C171" s="220">
        <f>(8*C170)/(Vcc-8)</f>
        <v>20.21505376344086</v>
      </c>
      <c r="D171" s="196" t="s">
        <v>267</v>
      </c>
    </row>
    <row r="172" spans="1:4" ht="18" customHeight="1">
      <c r="A172" s="189"/>
      <c r="B172" s="196" t="s">
        <v>586</v>
      </c>
      <c r="C172" s="187">
        <v>18</v>
      </c>
      <c r="D172" s="196" t="s">
        <v>267</v>
      </c>
    </row>
    <row r="173" spans="1:4" ht="33">
      <c r="A173" s="189"/>
      <c r="B173" s="330" t="s">
        <v>593</v>
      </c>
      <c r="C173" s="220">
        <f>(((((C167/4)-230)*10^-9)*(((C168+C172)/(C168*C172))*10^-3))-1*10^-12)*10^12</f>
        <v>3.000000000000001</v>
      </c>
      <c r="D173" s="250" t="s">
        <v>594</v>
      </c>
    </row>
    <row r="174" spans="2:6" ht="18" customHeight="1">
      <c r="B174" s="331" t="s">
        <v>595</v>
      </c>
      <c r="C174" s="332"/>
      <c r="D174" s="332"/>
      <c r="E174" s="332"/>
      <c r="F174" s="333"/>
    </row>
    <row r="175" ht="13.5"/>
    <row r="176" ht="13.5"/>
    <row r="177" ht="13.5"/>
    <row r="178" ht="13.5"/>
    <row r="179" spans="5:8" ht="13.5">
      <c r="E179" s="172"/>
      <c r="F179" s="172"/>
      <c r="G179" s="172"/>
      <c r="H179" s="172"/>
    </row>
    <row r="180" spans="5:8" ht="13.5">
      <c r="E180" s="172"/>
      <c r="F180" s="172"/>
      <c r="G180" s="172"/>
      <c r="H180" s="172"/>
    </row>
    <row r="181" spans="5:8" ht="13.5">
      <c r="E181" s="172"/>
      <c r="F181" s="172"/>
      <c r="G181" s="172"/>
      <c r="H181" s="172"/>
    </row>
    <row r="182" spans="2:8" ht="13.5">
      <c r="B182" s="172"/>
      <c r="C182" s="172"/>
      <c r="D182" s="172"/>
      <c r="E182" s="172"/>
      <c r="F182" s="172"/>
      <c r="G182" s="172"/>
      <c r="H182" s="172"/>
    </row>
    <row r="183" spans="1:9" ht="13.5">
      <c r="A183" s="172"/>
      <c r="B183" s="172"/>
      <c r="C183" s="172"/>
      <c r="D183" s="172"/>
      <c r="E183" s="172"/>
      <c r="F183" s="172"/>
      <c r="G183" s="172"/>
      <c r="H183" s="172"/>
      <c r="I183" s="172"/>
    </row>
    <row r="184" spans="1:9" ht="13.5">
      <c r="A184" s="172"/>
      <c r="B184" s="172"/>
      <c r="C184" s="172"/>
      <c r="D184" s="172"/>
      <c r="E184" s="173"/>
      <c r="F184" s="173"/>
      <c r="G184" s="173"/>
      <c r="H184" s="173"/>
      <c r="I184" s="172"/>
    </row>
    <row r="185" spans="1:9" ht="13.5">
      <c r="A185" s="172"/>
      <c r="B185" s="172"/>
      <c r="C185" s="172"/>
      <c r="D185" s="172"/>
      <c r="E185" s="172"/>
      <c r="F185" s="172"/>
      <c r="G185" s="172"/>
      <c r="H185" s="172"/>
      <c r="I185" s="172"/>
    </row>
    <row r="186" spans="1:9" ht="13.5">
      <c r="A186" s="172"/>
      <c r="B186" s="172"/>
      <c r="C186" s="172"/>
      <c r="D186" s="172"/>
      <c r="E186" s="172"/>
      <c r="F186" s="172"/>
      <c r="G186" s="172"/>
      <c r="H186" s="172"/>
      <c r="I186" s="172"/>
    </row>
    <row r="187" spans="1:9" ht="13.5">
      <c r="A187" s="172"/>
      <c r="B187" s="173"/>
      <c r="C187" s="173"/>
      <c r="D187" s="173"/>
      <c r="E187" s="172"/>
      <c r="F187" s="172"/>
      <c r="G187" s="172"/>
      <c r="H187" s="172"/>
      <c r="I187" s="172"/>
    </row>
    <row r="188" spans="1:9" ht="13.5">
      <c r="A188" s="173"/>
      <c r="B188" s="1"/>
      <c r="C188" s="1"/>
      <c r="D188" s="179"/>
      <c r="E188" s="172"/>
      <c r="F188" s="172"/>
      <c r="G188" s="172"/>
      <c r="H188" s="172"/>
      <c r="I188" s="173"/>
    </row>
    <row r="189" spans="1:9" ht="13.5">
      <c r="A189" s="172"/>
      <c r="B189" s="1"/>
      <c r="C189" s="1"/>
      <c r="D189" s="179"/>
      <c r="E189" s="172"/>
      <c r="F189" s="172"/>
      <c r="G189" s="172"/>
      <c r="H189" s="172"/>
      <c r="I189" s="172"/>
    </row>
    <row r="190" spans="1:9" ht="13.5">
      <c r="A190" s="172"/>
      <c r="B190" s="1"/>
      <c r="C190" s="1"/>
      <c r="D190" s="179"/>
      <c r="E190" s="172"/>
      <c r="F190" s="172"/>
      <c r="G190" s="172"/>
      <c r="H190" s="172"/>
      <c r="I190" s="172"/>
    </row>
    <row r="191" spans="1:9" ht="13.5">
      <c r="A191" s="172"/>
      <c r="B191" s="1"/>
      <c r="C191" s="1"/>
      <c r="D191" s="179"/>
      <c r="E191" s="172"/>
      <c r="F191" s="172"/>
      <c r="G191" s="172"/>
      <c r="H191" s="172"/>
      <c r="I191" s="172"/>
    </row>
    <row r="192" spans="1:9" ht="13.5">
      <c r="A192" s="172"/>
      <c r="B192" s="1"/>
      <c r="C192" s="1"/>
      <c r="D192" s="179"/>
      <c r="E192" s="172"/>
      <c r="F192" s="172"/>
      <c r="G192" s="172"/>
      <c r="H192" s="172"/>
      <c r="I192" s="172"/>
    </row>
    <row r="193" spans="1:9" ht="13.5">
      <c r="A193" s="172"/>
      <c r="B193" s="1"/>
      <c r="C193" s="1"/>
      <c r="D193" s="179"/>
      <c r="E193" s="172"/>
      <c r="F193" s="172"/>
      <c r="G193" s="172"/>
      <c r="H193" s="172"/>
      <c r="I193" s="172"/>
    </row>
    <row r="194" spans="1:9" ht="13.5">
      <c r="A194" s="172"/>
      <c r="B194" s="1"/>
      <c r="C194" s="1"/>
      <c r="D194" s="179"/>
      <c r="E194" s="172"/>
      <c r="F194" s="172"/>
      <c r="G194" s="172"/>
      <c r="H194" s="172"/>
      <c r="I194" s="172"/>
    </row>
    <row r="195" spans="1:9" ht="13.5">
      <c r="A195" s="172"/>
      <c r="B195" s="172"/>
      <c r="C195" s="172"/>
      <c r="D195" s="172"/>
      <c r="E195" s="172"/>
      <c r="F195" s="172"/>
      <c r="G195" s="172"/>
      <c r="H195" s="172"/>
      <c r="I195" s="172"/>
    </row>
    <row r="196" spans="1:9" ht="13.5">
      <c r="A196" s="172"/>
      <c r="B196" s="180"/>
      <c r="C196" s="181"/>
      <c r="D196" s="182"/>
      <c r="E196" s="172"/>
      <c r="F196" s="172"/>
      <c r="G196" s="172"/>
      <c r="H196" s="172"/>
      <c r="I196" s="172"/>
    </row>
    <row r="197" spans="1:9" ht="13.5">
      <c r="A197" s="172"/>
      <c r="B197" s="180"/>
      <c r="C197" s="180"/>
      <c r="D197" s="182"/>
      <c r="E197" s="179"/>
      <c r="F197" s="179"/>
      <c r="G197" s="179"/>
      <c r="H197" s="179"/>
      <c r="I197" s="172"/>
    </row>
    <row r="198" spans="1:9" ht="13.5">
      <c r="A198" s="172"/>
      <c r="B198" s="180"/>
      <c r="C198" s="180"/>
      <c r="D198" s="182"/>
      <c r="E198" s="176"/>
      <c r="F198" s="176"/>
      <c r="G198" s="176"/>
      <c r="H198" s="176"/>
      <c r="I198" s="172"/>
    </row>
    <row r="199" spans="1:9" ht="13.5">
      <c r="A199" s="172"/>
      <c r="B199" s="172"/>
      <c r="C199" s="172"/>
      <c r="D199" s="172"/>
      <c r="E199" s="176"/>
      <c r="F199" s="176"/>
      <c r="G199" s="176"/>
      <c r="H199" s="176"/>
      <c r="I199" s="172"/>
    </row>
    <row r="200" spans="1:9" ht="13.5">
      <c r="A200" s="172"/>
      <c r="B200" s="179"/>
      <c r="C200" s="179"/>
      <c r="D200" s="179"/>
      <c r="E200" s="178"/>
      <c r="F200" s="178"/>
      <c r="G200" s="178"/>
      <c r="H200" s="178"/>
      <c r="I200" s="172"/>
    </row>
    <row r="201" spans="1:10" ht="13.5">
      <c r="A201" s="172"/>
      <c r="B201" s="176"/>
      <c r="C201" s="176"/>
      <c r="D201" s="176"/>
      <c r="E201" s="178"/>
      <c r="F201" s="178"/>
      <c r="G201" s="178"/>
      <c r="H201" s="178"/>
      <c r="I201" s="179"/>
      <c r="J201" s="170"/>
    </row>
    <row r="202" spans="1:10" ht="13.5">
      <c r="A202" s="176"/>
      <c r="B202" s="176"/>
      <c r="C202" s="176"/>
      <c r="D202" s="176"/>
      <c r="E202" s="178"/>
      <c r="F202" s="178"/>
      <c r="G202" s="178"/>
      <c r="H202" s="178"/>
      <c r="I202" s="176"/>
      <c r="J202" s="170"/>
    </row>
    <row r="203" spans="1:10" ht="13.5">
      <c r="A203" s="176"/>
      <c r="B203" s="178"/>
      <c r="C203" s="178"/>
      <c r="D203" s="176"/>
      <c r="E203" s="178"/>
      <c r="F203" s="178"/>
      <c r="G203" s="178"/>
      <c r="H203" s="178"/>
      <c r="I203" s="176"/>
      <c r="J203" s="170"/>
    </row>
    <row r="204" spans="1:10" ht="13.5">
      <c r="A204" s="178"/>
      <c r="B204" s="178"/>
      <c r="C204" s="178"/>
      <c r="D204" s="176"/>
      <c r="E204" s="178"/>
      <c r="F204" s="178"/>
      <c r="G204" s="178"/>
      <c r="H204" s="178"/>
      <c r="I204" s="176"/>
      <c r="J204" s="170"/>
    </row>
    <row r="205" spans="1:10" ht="13.5">
      <c r="A205" s="178"/>
      <c r="B205" s="178"/>
      <c r="C205" s="178"/>
      <c r="D205" s="176"/>
      <c r="E205" s="178"/>
      <c r="F205" s="178"/>
      <c r="G205" s="178"/>
      <c r="H205" s="178"/>
      <c r="I205" s="176"/>
      <c r="J205" s="170"/>
    </row>
    <row r="206" spans="1:10" ht="13.5">
      <c r="A206" s="178"/>
      <c r="B206" s="178"/>
      <c r="C206" s="178"/>
      <c r="D206" s="176"/>
      <c r="E206" s="178"/>
      <c r="F206" s="178"/>
      <c r="G206" s="178"/>
      <c r="H206" s="178"/>
      <c r="I206" s="176"/>
      <c r="J206" s="170"/>
    </row>
    <row r="207" spans="1:10" ht="13.5">
      <c r="A207" s="178"/>
      <c r="B207" s="178"/>
      <c r="C207" s="178"/>
      <c r="D207" s="176"/>
      <c r="E207" s="178"/>
      <c r="F207" s="178"/>
      <c r="G207" s="178"/>
      <c r="H207" s="178"/>
      <c r="I207" s="176"/>
      <c r="J207" s="170"/>
    </row>
    <row r="208" spans="1:10" ht="13.5">
      <c r="A208" s="178"/>
      <c r="B208" s="178"/>
      <c r="C208" s="178"/>
      <c r="D208" s="176"/>
      <c r="E208" s="178"/>
      <c r="F208" s="178"/>
      <c r="G208" s="178"/>
      <c r="H208" s="178"/>
      <c r="I208" s="176"/>
      <c r="J208" s="170"/>
    </row>
    <row r="209" spans="1:10" ht="13.5">
      <c r="A209" s="178"/>
      <c r="B209" s="178"/>
      <c r="C209" s="178"/>
      <c r="D209" s="176"/>
      <c r="E209" s="178"/>
      <c r="F209" s="178"/>
      <c r="G209" s="178"/>
      <c r="H209" s="178"/>
      <c r="I209" s="176"/>
      <c r="J209" s="170"/>
    </row>
    <row r="210" spans="1:10" ht="13.5">
      <c r="A210" s="178"/>
      <c r="B210" s="178"/>
      <c r="C210" s="178"/>
      <c r="D210" s="176"/>
      <c r="E210" s="178"/>
      <c r="F210" s="178"/>
      <c r="G210" s="178"/>
      <c r="H210" s="178"/>
      <c r="I210" s="176"/>
      <c r="J210" s="170"/>
    </row>
    <row r="211" spans="1:10" ht="13.5">
      <c r="A211" s="178"/>
      <c r="B211" s="178"/>
      <c r="C211" s="178"/>
      <c r="D211" s="176"/>
      <c r="E211" s="178"/>
      <c r="F211" s="178"/>
      <c r="G211" s="178"/>
      <c r="H211" s="178"/>
      <c r="I211" s="176"/>
      <c r="J211" s="170"/>
    </row>
    <row r="212" spans="1:10" ht="13.5">
      <c r="A212" s="178"/>
      <c r="B212" s="178"/>
      <c r="C212" s="178"/>
      <c r="D212" s="176"/>
      <c r="E212" s="178"/>
      <c r="F212" s="178"/>
      <c r="G212" s="178"/>
      <c r="H212" s="178"/>
      <c r="I212" s="176"/>
      <c r="J212" s="170"/>
    </row>
    <row r="213" spans="1:10" ht="13.5">
      <c r="A213" s="178"/>
      <c r="B213" s="178"/>
      <c r="C213" s="178"/>
      <c r="D213" s="176"/>
      <c r="E213" s="178"/>
      <c r="F213" s="178"/>
      <c r="G213" s="178"/>
      <c r="H213" s="178"/>
      <c r="I213" s="176"/>
      <c r="J213" s="170"/>
    </row>
    <row r="214" spans="1:10" ht="13.5">
      <c r="A214" s="178"/>
      <c r="B214" s="178"/>
      <c r="C214" s="178"/>
      <c r="D214" s="176"/>
      <c r="E214" s="178"/>
      <c r="F214" s="178"/>
      <c r="G214" s="178"/>
      <c r="H214" s="178"/>
      <c r="I214" s="176"/>
      <c r="J214" s="170"/>
    </row>
    <row r="215" spans="1:10" ht="13.5">
      <c r="A215" s="178"/>
      <c r="B215" s="178"/>
      <c r="C215" s="178"/>
      <c r="D215" s="176"/>
      <c r="E215" s="178"/>
      <c r="F215" s="178"/>
      <c r="G215" s="178"/>
      <c r="H215" s="178"/>
      <c r="I215" s="176"/>
      <c r="J215" s="170"/>
    </row>
    <row r="216" spans="1:10" ht="13.5">
      <c r="A216" s="178"/>
      <c r="B216" s="178"/>
      <c r="C216" s="178"/>
      <c r="D216" s="176"/>
      <c r="E216" s="178"/>
      <c r="F216" s="178"/>
      <c r="G216" s="178"/>
      <c r="H216" s="178"/>
      <c r="I216" s="176"/>
      <c r="J216" s="170"/>
    </row>
    <row r="217" spans="1:10" ht="13.5">
      <c r="A217" s="178"/>
      <c r="B217" s="178"/>
      <c r="C217" s="178"/>
      <c r="D217" s="176"/>
      <c r="E217" s="178"/>
      <c r="F217" s="178"/>
      <c r="G217" s="178"/>
      <c r="H217" s="178"/>
      <c r="I217" s="176"/>
      <c r="J217" s="170"/>
    </row>
    <row r="218" spans="1:10" ht="13.5">
      <c r="A218" s="178"/>
      <c r="B218" s="178"/>
      <c r="C218" s="178"/>
      <c r="D218" s="176"/>
      <c r="E218" s="178"/>
      <c r="F218" s="178"/>
      <c r="G218" s="178"/>
      <c r="H218" s="178"/>
      <c r="I218" s="176"/>
      <c r="J218" s="170"/>
    </row>
    <row r="219" spans="1:10" ht="13.5">
      <c r="A219" s="178"/>
      <c r="B219" s="178"/>
      <c r="C219" s="178"/>
      <c r="D219" s="176"/>
      <c r="E219" s="178"/>
      <c r="F219" s="178"/>
      <c r="G219" s="178"/>
      <c r="H219" s="178"/>
      <c r="I219" s="176"/>
      <c r="J219" s="170"/>
    </row>
    <row r="220" spans="1:10" ht="13.5">
      <c r="A220" s="178"/>
      <c r="B220" s="178"/>
      <c r="C220" s="178"/>
      <c r="D220" s="176"/>
      <c r="E220" s="170"/>
      <c r="F220" s="170"/>
      <c r="G220" s="170"/>
      <c r="H220" s="170"/>
      <c r="I220" s="176"/>
      <c r="J220" s="170"/>
    </row>
    <row r="221" spans="1:10" ht="13.5">
      <c r="A221" s="178"/>
      <c r="B221" s="178"/>
      <c r="C221" s="178"/>
      <c r="D221" s="176"/>
      <c r="E221" s="170"/>
      <c r="F221" s="170"/>
      <c r="G221" s="170"/>
      <c r="H221" s="170"/>
      <c r="I221" s="176"/>
      <c r="J221" s="170"/>
    </row>
    <row r="222" spans="1:10" ht="13.5">
      <c r="A222" s="178"/>
      <c r="B222" s="178"/>
      <c r="C222" s="178"/>
      <c r="D222" s="176"/>
      <c r="E222" s="170"/>
      <c r="F222" s="170"/>
      <c r="G222" s="170"/>
      <c r="H222" s="170"/>
      <c r="I222" s="176"/>
      <c r="J222" s="170"/>
    </row>
    <row r="223" spans="1:10" ht="13.5">
      <c r="A223" s="178"/>
      <c r="B223" s="170"/>
      <c r="C223" s="170"/>
      <c r="D223" s="170"/>
      <c r="E223" s="170"/>
      <c r="F223" s="170"/>
      <c r="G223" s="170"/>
      <c r="H223" s="170"/>
      <c r="I223" s="176"/>
      <c r="J223" s="170"/>
    </row>
    <row r="224" spans="1:10" ht="13.5">
      <c r="A224" s="170"/>
      <c r="B224" s="170"/>
      <c r="C224" s="170"/>
      <c r="D224" s="170"/>
      <c r="E224" s="170"/>
      <c r="F224" s="170"/>
      <c r="G224" s="170"/>
      <c r="H224" s="179"/>
      <c r="I224" s="170"/>
      <c r="J224" s="170"/>
    </row>
    <row r="225" spans="3:10" ht="13.5">
      <c r="C225" s="170"/>
      <c r="D225" s="170"/>
      <c r="E225" s="183"/>
      <c r="F225" s="183"/>
      <c r="G225" s="183"/>
      <c r="H225" s="179"/>
      <c r="I225" s="170"/>
      <c r="J225" s="170"/>
    </row>
    <row r="226" spans="3:9" ht="13.5">
      <c r="C226" s="170"/>
      <c r="D226" s="170"/>
      <c r="E226" s="170"/>
      <c r="F226" s="170"/>
      <c r="G226" s="170"/>
      <c r="H226" s="170"/>
      <c r="I226" s="170"/>
    </row>
    <row r="227" spans="3:9" ht="13.5">
      <c r="C227" s="170"/>
      <c r="D227" s="170"/>
      <c r="E227" s="170"/>
      <c r="F227" s="170"/>
      <c r="G227" s="170"/>
      <c r="H227" s="170"/>
      <c r="I227" s="170"/>
    </row>
    <row r="228" spans="3:9" ht="13.5">
      <c r="C228" s="170"/>
      <c r="D228" s="183"/>
      <c r="E228" s="170"/>
      <c r="F228" s="170"/>
      <c r="G228" s="170"/>
      <c r="H228" s="170"/>
      <c r="I228" s="170"/>
    </row>
    <row r="229" spans="3:9" ht="13.5">
      <c r="C229" s="170"/>
      <c r="D229" s="170"/>
      <c r="I229" s="170"/>
    </row>
    <row r="230" spans="3:9" ht="13.5">
      <c r="C230" s="170"/>
      <c r="D230" s="170"/>
      <c r="I230" s="170"/>
    </row>
    <row r="231" spans="3:9" ht="13.5">
      <c r="C231" s="170"/>
      <c r="D231" s="170"/>
      <c r="I231" s="170"/>
    </row>
    <row r="232" ht="13.5">
      <c r="I232" s="170"/>
    </row>
  </sheetData>
  <sheetProtection selectLockedCells="1"/>
  <mergeCells count="10">
    <mergeCell ref="B169:F169"/>
    <mergeCell ref="B174:F174"/>
    <mergeCell ref="C1:H2"/>
    <mergeCell ref="F46:G46"/>
    <mergeCell ref="G120:H120"/>
    <mergeCell ref="G121:H121"/>
    <mergeCell ref="G122:H122"/>
    <mergeCell ref="G132:H132"/>
    <mergeCell ref="G133:H133"/>
    <mergeCell ref="G134:H134"/>
  </mergeCells>
  <conditionalFormatting sqref="A121 A172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r:id="rId13"/>
  <drawing r:id="rId12"/>
  <legacyDrawing r:id="rId11"/>
  <oleObjects>
    <oleObject progId="hunmin.doc" shapeId="1076352" r:id="rId2"/>
    <oleObject progId="Visio.Drawing.6" shapeId="1150129" r:id="rId3"/>
    <oleObject progId="Visio.Drawing.6" shapeId="1657495" r:id="rId4"/>
    <oleObject progId="Visio.Drawing.6" shapeId="1316041" r:id="rId5"/>
    <oleObject progId="Visio.Drawing.11" shapeId="22057862" r:id="rId6"/>
    <oleObject progId="Visio.Drawing.11" shapeId="22298599" r:id="rId7"/>
    <oleObject progId="Visio.Drawing.11" shapeId="22487069" r:id="rId8"/>
    <oleObject progId="Visio.Drawing.11" shapeId="22890132" r:id="rId9"/>
    <oleObject progId="Visio.Drawing.11" shapeId="27397586" r:id="rId10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1:O58"/>
  <sheetViews>
    <sheetView zoomScalePageLayoutView="0" workbookViewId="0" topLeftCell="A1">
      <selection activeCell="C64" sqref="C64"/>
    </sheetView>
  </sheetViews>
  <sheetFormatPr defaultColWidth="8.88671875" defaultRowHeight="13.5"/>
  <cols>
    <col min="1" max="1" width="11.4453125" style="0" customWidth="1"/>
    <col min="2" max="2" width="9.77734375" style="0" customWidth="1"/>
    <col min="3" max="3" width="7.6640625" style="0" customWidth="1"/>
    <col min="4" max="4" width="7.88671875" style="0" customWidth="1"/>
    <col min="6" max="6" width="11.3359375" style="0" customWidth="1"/>
    <col min="13" max="13" width="19.21484375" style="0" customWidth="1"/>
    <col min="14" max="14" width="10.5546875" style="0" customWidth="1"/>
  </cols>
  <sheetData>
    <row r="21" ht="15.75">
      <c r="M21" s="325" t="s">
        <v>546</v>
      </c>
    </row>
    <row r="22" ht="15.75">
      <c r="M22" s="325" t="s">
        <v>547</v>
      </c>
    </row>
    <row r="23" ht="15.75">
      <c r="M23" s="325" t="s">
        <v>548</v>
      </c>
    </row>
    <row r="28" ht="14.25" thickBot="1"/>
    <row r="29" spans="1:15" ht="16.5" thickBot="1">
      <c r="A29" s="312" t="s">
        <v>511</v>
      </c>
      <c r="B29" s="313" t="s">
        <v>512</v>
      </c>
      <c r="C29" s="313" t="s">
        <v>513</v>
      </c>
      <c r="D29" s="313" t="s">
        <v>545</v>
      </c>
      <c r="E29" s="313" t="s">
        <v>513</v>
      </c>
      <c r="F29" s="314" t="s">
        <v>514</v>
      </c>
      <c r="M29" s="312" t="s">
        <v>511</v>
      </c>
      <c r="N29" s="313" t="s">
        <v>512</v>
      </c>
      <c r="O29" s="313" t="s">
        <v>513</v>
      </c>
    </row>
    <row r="30" spans="1:15" ht="19.5" thickBot="1">
      <c r="A30" s="315" t="s">
        <v>518</v>
      </c>
      <c r="B30" s="323">
        <f>Flyback_QRC!C23</f>
        <v>100</v>
      </c>
      <c r="C30" s="316" t="s">
        <v>515</v>
      </c>
      <c r="D30" s="317"/>
      <c r="E30" s="318"/>
      <c r="F30" s="319"/>
      <c r="M30" s="326" t="s">
        <v>549</v>
      </c>
      <c r="N30" s="327">
        <f>Flyback_QRC!C37</f>
        <v>538.7627455952297</v>
      </c>
      <c r="O30" s="328" t="s">
        <v>550</v>
      </c>
    </row>
    <row r="31" spans="1:15" ht="19.5" thickBot="1">
      <c r="A31" s="315" t="s">
        <v>519</v>
      </c>
      <c r="B31" s="320">
        <f>Flyback_QRC!C110</f>
        <v>5.97967508624102</v>
      </c>
      <c r="C31" s="318" t="s">
        <v>517</v>
      </c>
      <c r="D31" s="317"/>
      <c r="E31" s="318"/>
      <c r="F31" s="319"/>
      <c r="M31" s="315" t="s">
        <v>551</v>
      </c>
      <c r="N31" s="329">
        <f>ROUND(Flyback_QRC!I64,0)</f>
        <v>39</v>
      </c>
      <c r="O31" s="319" t="s">
        <v>552</v>
      </c>
    </row>
    <row r="32" spans="1:15" ht="20.25" thickBot="1">
      <c r="A32" s="315" t="s">
        <v>520</v>
      </c>
      <c r="B32" s="320">
        <f>Flyback_QRC!C111</f>
        <v>6.432044869801846</v>
      </c>
      <c r="C32" s="318" t="s">
        <v>541</v>
      </c>
      <c r="D32" s="321"/>
      <c r="E32" s="318"/>
      <c r="F32" s="322"/>
      <c r="M32" s="315" t="s">
        <v>553</v>
      </c>
      <c r="N32" s="327">
        <f>Flyback_QRC!C72</f>
        <v>0.32</v>
      </c>
      <c r="O32" s="319" t="s">
        <v>554</v>
      </c>
    </row>
    <row r="33" spans="1:15" ht="19.5" thickBot="1">
      <c r="A33" s="315" t="s">
        <v>521</v>
      </c>
      <c r="B33" s="340" t="s">
        <v>544</v>
      </c>
      <c r="C33" s="341"/>
      <c r="D33" s="321"/>
      <c r="E33" s="318"/>
      <c r="F33" s="322"/>
      <c r="M33" s="315" t="s">
        <v>555</v>
      </c>
      <c r="N33" s="329">
        <f>Flyback_QRC!E72</f>
        <v>1</v>
      </c>
      <c r="O33" s="319"/>
    </row>
    <row r="34" spans="1:15" ht="19.5" thickBot="1">
      <c r="A34" s="315" t="s">
        <v>522</v>
      </c>
      <c r="B34" s="323">
        <f>Flyback_QRC!C128</f>
        <v>33</v>
      </c>
      <c r="C34" s="318" t="s">
        <v>541</v>
      </c>
      <c r="D34" s="321"/>
      <c r="E34" s="318"/>
      <c r="F34" s="322"/>
      <c r="M34" s="315" t="s">
        <v>556</v>
      </c>
      <c r="N34" s="329">
        <f>ROUND(Flyback_QRC!I57,0)</f>
        <v>5</v>
      </c>
      <c r="O34" s="319" t="s">
        <v>552</v>
      </c>
    </row>
    <row r="35" spans="1:15" ht="20.25" thickBot="1">
      <c r="A35" s="315" t="s">
        <v>523</v>
      </c>
      <c r="B35" s="324" t="s">
        <v>542</v>
      </c>
      <c r="C35" s="316" t="s">
        <v>540</v>
      </c>
      <c r="D35" s="321"/>
      <c r="E35" s="318"/>
      <c r="F35" s="322"/>
      <c r="M35" s="315" t="s">
        <v>557</v>
      </c>
      <c r="N35" s="327">
        <f>Flyback_QRC!C73</f>
        <v>0.16</v>
      </c>
      <c r="O35" s="319" t="s">
        <v>554</v>
      </c>
    </row>
    <row r="36" spans="1:15" ht="19.5" thickBot="1">
      <c r="A36" s="315" t="s">
        <v>524</v>
      </c>
      <c r="B36" s="324" t="s">
        <v>543</v>
      </c>
      <c r="C36" s="316" t="s">
        <v>515</v>
      </c>
      <c r="D36" s="321"/>
      <c r="E36" s="318"/>
      <c r="F36" s="322"/>
      <c r="M36" s="315" t="s">
        <v>558</v>
      </c>
      <c r="N36" s="329">
        <f>Flyback_QRC!E73</f>
        <v>1</v>
      </c>
      <c r="O36" s="319"/>
    </row>
    <row r="37" spans="1:15" ht="19.5" thickBot="1">
      <c r="A37" s="315" t="s">
        <v>525</v>
      </c>
      <c r="B37" s="320">
        <f>Flyback_QRC!C87</f>
        <v>61.847558860289716</v>
      </c>
      <c r="C37" s="318" t="s">
        <v>21</v>
      </c>
      <c r="D37" s="320">
        <f>Flyback_QRC!G87</f>
        <v>0.1</v>
      </c>
      <c r="E37" s="318" t="s">
        <v>589</v>
      </c>
      <c r="F37" s="319" t="s">
        <v>516</v>
      </c>
      <c r="M37" s="315" t="s">
        <v>559</v>
      </c>
      <c r="N37" s="329">
        <f>ROUND(Flyback_QRC!I58,0)</f>
        <v>65</v>
      </c>
      <c r="O37" s="319" t="s">
        <v>552</v>
      </c>
    </row>
    <row r="38" spans="1:15" ht="20.25" thickBot="1">
      <c r="A38" s="315" t="s">
        <v>526</v>
      </c>
      <c r="B38" s="320">
        <f>Flyback_QRC!C88</f>
        <v>861.616244930213</v>
      </c>
      <c r="C38" s="318" t="s">
        <v>21</v>
      </c>
      <c r="D38" s="320">
        <f>Flyback_QRC!G88</f>
        <v>0.7041946827732654</v>
      </c>
      <c r="E38" s="318" t="s">
        <v>589</v>
      </c>
      <c r="F38" s="319" t="s">
        <v>516</v>
      </c>
      <c r="M38" s="315" t="s">
        <v>560</v>
      </c>
      <c r="N38" s="327">
        <f>Flyback_QRC!C74</f>
        <v>0.32</v>
      </c>
      <c r="O38" s="319" t="s">
        <v>554</v>
      </c>
    </row>
    <row r="39" spans="1:15" ht="19.5" thickBot="1">
      <c r="A39" s="315" t="s">
        <v>527</v>
      </c>
      <c r="B39" s="320">
        <f>Flyback_QRC!C89</f>
        <v>15.839360253041441</v>
      </c>
      <c r="C39" s="318" t="s">
        <v>21</v>
      </c>
      <c r="D39" s="320">
        <f>Flyback_QRC!G89</f>
        <v>0.04087108875937992</v>
      </c>
      <c r="E39" s="318" t="s">
        <v>589</v>
      </c>
      <c r="F39" s="319" t="s">
        <v>516</v>
      </c>
      <c r="M39" s="315" t="s">
        <v>561</v>
      </c>
      <c r="N39" s="329">
        <f>Flyback_QRC!E74</f>
        <v>1</v>
      </c>
      <c r="O39" s="319"/>
    </row>
    <row r="40" spans="1:15" ht="19.5" thickBot="1">
      <c r="A40" s="315" t="s">
        <v>536</v>
      </c>
      <c r="B40" s="320">
        <f>Flyback_QRC!C90</f>
        <v>0.9899494936611665</v>
      </c>
      <c r="C40" s="318" t="s">
        <v>21</v>
      </c>
      <c r="D40" s="320">
        <f>Flyback_QRC!G90</f>
        <v>0</v>
      </c>
      <c r="E40" s="318" t="s">
        <v>589</v>
      </c>
      <c r="F40" s="319" t="s">
        <v>516</v>
      </c>
      <c r="M40" s="315" t="s">
        <v>562</v>
      </c>
      <c r="N40" s="329">
        <f>ROUND(Flyback_QRC!I59,0)</f>
        <v>1</v>
      </c>
      <c r="O40" s="319" t="s">
        <v>552</v>
      </c>
    </row>
    <row r="41" spans="1:15" ht="20.25" thickBot="1">
      <c r="A41" s="315" t="s">
        <v>537</v>
      </c>
      <c r="B41" s="320">
        <f>Flyback_QRC!C91</f>
        <v>0</v>
      </c>
      <c r="C41" s="318" t="s">
        <v>21</v>
      </c>
      <c r="D41" s="320" t="e">
        <f>Flyback_QRC!G91</f>
        <v>#DIV/0!</v>
      </c>
      <c r="E41" s="318" t="s">
        <v>589</v>
      </c>
      <c r="F41" s="319" t="s">
        <v>516</v>
      </c>
      <c r="M41" s="315" t="s">
        <v>563</v>
      </c>
      <c r="N41" s="327">
        <f>Flyback_QRC!C75</f>
        <v>0.16</v>
      </c>
      <c r="O41" s="319" t="s">
        <v>554</v>
      </c>
    </row>
    <row r="42" spans="1:15" ht="19.5" thickBot="1">
      <c r="A42" s="315" t="s">
        <v>577</v>
      </c>
      <c r="B42" s="320">
        <f>Flyback_QRC!C92</f>
        <v>0</v>
      </c>
      <c r="C42" s="318" t="s">
        <v>21</v>
      </c>
      <c r="D42" s="320" t="e">
        <f>Flyback_QRC!G92</f>
        <v>#DIV/0!</v>
      </c>
      <c r="E42" s="318" t="s">
        <v>589</v>
      </c>
      <c r="F42" s="319" t="s">
        <v>516</v>
      </c>
      <c r="M42" s="315" t="s">
        <v>564</v>
      </c>
      <c r="N42" s="329">
        <f>Flyback_QRC!E75</f>
        <v>1</v>
      </c>
      <c r="O42" s="319"/>
    </row>
    <row r="43" spans="1:15" ht="19.5" thickBot="1">
      <c r="A43" s="315" t="s">
        <v>578</v>
      </c>
      <c r="B43" s="320">
        <f>Flyback_QRC!C93</f>
        <v>0</v>
      </c>
      <c r="C43" s="318" t="s">
        <v>21</v>
      </c>
      <c r="D43" s="320" t="e">
        <f>Flyback_QRC!G93</f>
        <v>#DIV/0!</v>
      </c>
      <c r="E43" s="318" t="s">
        <v>589</v>
      </c>
      <c r="F43" s="319" t="s">
        <v>516</v>
      </c>
      <c r="M43" s="315" t="s">
        <v>565</v>
      </c>
      <c r="N43" s="329">
        <f>ROUND(Flyback_QRC!I60,0)</f>
        <v>0</v>
      </c>
      <c r="O43" s="319" t="s">
        <v>552</v>
      </c>
    </row>
    <row r="44" spans="1:15" ht="20.25" thickBot="1">
      <c r="A44" s="315" t="s">
        <v>528</v>
      </c>
      <c r="B44" s="323">
        <f>Flyback_QRC!C99</f>
        <v>200</v>
      </c>
      <c r="C44" s="316" t="s">
        <v>515</v>
      </c>
      <c r="D44" s="321"/>
      <c r="E44" s="318"/>
      <c r="F44" s="322"/>
      <c r="M44" s="315" t="s">
        <v>566</v>
      </c>
      <c r="N44" s="327">
        <f>Flyback_QRC!C76</f>
        <v>0</v>
      </c>
      <c r="O44" s="319" t="s">
        <v>554</v>
      </c>
    </row>
    <row r="45" spans="1:15" ht="19.5" thickBot="1">
      <c r="A45" s="315" t="s">
        <v>529</v>
      </c>
      <c r="B45" s="323">
        <f>Flyback_QRC!C100</f>
        <v>200</v>
      </c>
      <c r="C45" s="316" t="s">
        <v>515</v>
      </c>
      <c r="D45" s="321"/>
      <c r="E45" s="318"/>
      <c r="F45" s="322"/>
      <c r="M45" s="315" t="s">
        <v>567</v>
      </c>
      <c r="N45" s="329">
        <f>Flyback_QRC!E76</f>
        <v>0</v>
      </c>
      <c r="O45" s="319"/>
    </row>
    <row r="46" spans="1:15" ht="19.5" thickBot="1">
      <c r="A46" s="315" t="s">
        <v>538</v>
      </c>
      <c r="B46" s="323">
        <f>Flyback_QRC!C101</f>
        <v>0</v>
      </c>
      <c r="C46" s="316" t="s">
        <v>515</v>
      </c>
      <c r="D46" s="321"/>
      <c r="E46" s="318"/>
      <c r="F46" s="322"/>
      <c r="M46" s="315" t="s">
        <v>568</v>
      </c>
      <c r="N46" s="329">
        <f>ROUND(Flyback_QRC!I61,0)</f>
        <v>0</v>
      </c>
      <c r="O46" s="319" t="s">
        <v>552</v>
      </c>
    </row>
    <row r="47" spans="1:15" ht="20.25" thickBot="1">
      <c r="A47" s="315" t="s">
        <v>539</v>
      </c>
      <c r="B47" s="323">
        <f>Flyback_QRC!C102</f>
        <v>0</v>
      </c>
      <c r="C47" s="316" t="s">
        <v>515</v>
      </c>
      <c r="D47" s="321"/>
      <c r="E47" s="318"/>
      <c r="F47" s="322"/>
      <c r="M47" s="315" t="s">
        <v>569</v>
      </c>
      <c r="N47" s="327">
        <f>Flyback_QRC!C77</f>
        <v>0</v>
      </c>
      <c r="O47" s="319" t="s">
        <v>554</v>
      </c>
    </row>
    <row r="48" spans="1:15" ht="19.5" thickBot="1">
      <c r="A48" s="315" t="s">
        <v>579</v>
      </c>
      <c r="B48" s="323">
        <f>Flyback_QRC!C103</f>
        <v>0</v>
      </c>
      <c r="C48" s="316" t="s">
        <v>515</v>
      </c>
      <c r="D48" s="321"/>
      <c r="E48" s="318"/>
      <c r="F48" s="322"/>
      <c r="M48" s="315" t="s">
        <v>570</v>
      </c>
      <c r="N48" s="329">
        <f>Flyback_QRC!E77</f>
        <v>0</v>
      </c>
      <c r="O48" s="319"/>
    </row>
    <row r="49" spans="1:15" ht="19.5" thickBot="1">
      <c r="A49" s="315" t="s">
        <v>580</v>
      </c>
      <c r="B49" s="323">
        <f>Flyback_QRC!C104</f>
        <v>0</v>
      </c>
      <c r="C49" s="316" t="s">
        <v>515</v>
      </c>
      <c r="D49" s="321"/>
      <c r="E49" s="318"/>
      <c r="F49" s="322"/>
      <c r="M49" s="315" t="s">
        <v>571</v>
      </c>
      <c r="N49" s="329">
        <f>ROUND(Flyback_QRC!I62,0)</f>
        <v>0</v>
      </c>
      <c r="O49" s="319" t="s">
        <v>552</v>
      </c>
    </row>
    <row r="50" spans="1:15" ht="20.25" thickBot="1">
      <c r="A50" s="315" t="s">
        <v>530</v>
      </c>
      <c r="B50" s="323">
        <f>Flyback_QRC!C126</f>
        <v>1</v>
      </c>
      <c r="C50" s="318" t="s">
        <v>517</v>
      </c>
      <c r="D50" s="321"/>
      <c r="E50" s="318"/>
      <c r="F50" s="322"/>
      <c r="M50" s="315" t="s">
        <v>572</v>
      </c>
      <c r="N50" s="327">
        <f>Flyback_QRC!C78</f>
        <v>0</v>
      </c>
      <c r="O50" s="319" t="s">
        <v>554</v>
      </c>
    </row>
    <row r="51" spans="1:15" ht="19.5" thickBot="1">
      <c r="A51" s="315" t="s">
        <v>531</v>
      </c>
      <c r="B51" s="323">
        <f>Flyback_QRC!C127</f>
        <v>1.2</v>
      </c>
      <c r="C51" s="318" t="s">
        <v>517</v>
      </c>
      <c r="D51" s="321"/>
      <c r="E51" s="318"/>
      <c r="F51" s="322"/>
      <c r="M51" s="315" t="s">
        <v>573</v>
      </c>
      <c r="N51" s="329">
        <f>Flyback_QRC!E78</f>
        <v>0</v>
      </c>
      <c r="O51" s="319"/>
    </row>
    <row r="52" spans="1:15" ht="19.5" thickBot="1">
      <c r="A52" s="315" t="s">
        <v>532</v>
      </c>
      <c r="B52" s="320">
        <f>Flyback_QRC!C125</f>
        <v>0.05063291139240506</v>
      </c>
      <c r="C52" s="318" t="s">
        <v>517</v>
      </c>
      <c r="D52" s="321"/>
      <c r="E52" s="318"/>
      <c r="F52" s="322"/>
      <c r="M52" s="315" t="s">
        <v>574</v>
      </c>
      <c r="N52" s="329">
        <f>ROUND(Flyback_QRC!I63,0)</f>
        <v>0</v>
      </c>
      <c r="O52" s="319" t="s">
        <v>552</v>
      </c>
    </row>
    <row r="53" spans="1:15" ht="20.25" thickBot="1">
      <c r="A53" s="315" t="s">
        <v>533</v>
      </c>
      <c r="B53" s="320">
        <f>Flyback_QRC!C125</f>
        <v>0.05063291139240506</v>
      </c>
      <c r="C53" s="318" t="s">
        <v>517</v>
      </c>
      <c r="D53" s="321"/>
      <c r="E53" s="318"/>
      <c r="F53" s="322"/>
      <c r="M53" s="315" t="s">
        <v>575</v>
      </c>
      <c r="N53" s="327">
        <f>Flyback_QRC!C79</f>
        <v>0</v>
      </c>
      <c r="O53" s="319" t="s">
        <v>554</v>
      </c>
    </row>
    <row r="54" spans="1:15" ht="18.75">
      <c r="A54" s="315" t="s">
        <v>534</v>
      </c>
      <c r="B54" s="320">
        <f>Flyback_QRC!C130</f>
        <v>10</v>
      </c>
      <c r="C54" s="318" t="s">
        <v>517</v>
      </c>
      <c r="D54" s="321"/>
      <c r="E54" s="318"/>
      <c r="F54" s="322"/>
      <c r="M54" s="315" t="s">
        <v>576</v>
      </c>
      <c r="N54" s="329">
        <f>Flyback_QRC!E79</f>
        <v>0</v>
      </c>
      <c r="O54" s="319"/>
    </row>
    <row r="55" spans="1:6" ht="18.75">
      <c r="A55" s="315" t="s">
        <v>535</v>
      </c>
      <c r="B55" s="320">
        <f>Flyback_QRC!C129</f>
        <v>47</v>
      </c>
      <c r="C55" s="318" t="s">
        <v>541</v>
      </c>
      <c r="D55" s="321"/>
      <c r="E55" s="318"/>
      <c r="F55" s="322"/>
    </row>
    <row r="56" spans="1:6" ht="18.75">
      <c r="A56" s="315" t="s">
        <v>585</v>
      </c>
      <c r="B56" s="320">
        <f>Flyback_QRC!C168</f>
        <v>30</v>
      </c>
      <c r="C56" s="318" t="s">
        <v>517</v>
      </c>
      <c r="D56" s="321"/>
      <c r="E56" s="318"/>
      <c r="F56" s="322"/>
    </row>
    <row r="57" spans="1:6" ht="18.75">
      <c r="A57" s="315" t="s">
        <v>588</v>
      </c>
      <c r="B57" s="320">
        <f>Flyback_QRC!C172</f>
        <v>18</v>
      </c>
      <c r="C57" s="318" t="s">
        <v>517</v>
      </c>
      <c r="D57" s="321"/>
      <c r="E57" s="318"/>
      <c r="F57" s="322"/>
    </row>
    <row r="58" spans="1:6" ht="18.75">
      <c r="A58" s="315" t="s">
        <v>596</v>
      </c>
      <c r="B58" s="320">
        <f>Flyback_QRC!C173</f>
        <v>3.000000000000001</v>
      </c>
      <c r="C58" s="318" t="s">
        <v>594</v>
      </c>
      <c r="D58" s="321"/>
      <c r="E58" s="318"/>
      <c r="F58" s="322"/>
    </row>
  </sheetData>
  <sheetProtection/>
  <mergeCells count="1">
    <mergeCell ref="B33:C33"/>
  </mergeCells>
  <printOptions/>
  <pageMargins left="0.75" right="0.75" top="1" bottom="1" header="0.5" footer="0.5"/>
  <pageSetup orientation="portrait" paperSize="9"/>
  <drawing r:id="rId3"/>
  <legacyDrawing r:id="rId2"/>
  <oleObjects>
    <oleObject progId="Visio.Drawing.11" shapeId="2745195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85" zoomScaleNormal="85" zoomScalePageLayoutView="0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B55" sqref="B55"/>
    </sheetView>
  </sheetViews>
  <sheetFormatPr defaultColWidth="8.88671875" defaultRowHeight="13.5"/>
  <cols>
    <col min="1" max="1" width="13.77734375" style="165" customWidth="1"/>
    <col min="2" max="2" width="13.77734375" style="164" customWidth="1"/>
    <col min="3" max="4" width="6.77734375" style="166" customWidth="1"/>
    <col min="5" max="7" width="8.88671875" style="166" customWidth="1"/>
    <col min="8" max="8" width="6.77734375" style="166" customWidth="1"/>
    <col min="9" max="13" width="7.77734375" style="166" customWidth="1"/>
    <col min="14" max="14" width="9.5546875" style="167" customWidth="1"/>
    <col min="15" max="15" width="9.4453125" style="167" bestFit="1" customWidth="1"/>
    <col min="16" max="16" width="12.99609375" style="166" bestFit="1" customWidth="1"/>
    <col min="17" max="17" width="13.88671875" style="166" customWidth="1"/>
    <col min="18" max="18" width="24.5546875" style="166" bestFit="1" customWidth="1"/>
    <col min="19" max="19" width="10.6640625" style="166" customWidth="1"/>
    <col min="20" max="20" width="10.21484375" style="166" customWidth="1"/>
    <col min="21" max="16384" width="8.88671875" style="166" customWidth="1"/>
  </cols>
  <sheetData>
    <row r="1" spans="1:20" s="3" customFormat="1" ht="13.5" customHeight="1">
      <c r="A1" s="399" t="s">
        <v>65</v>
      </c>
      <c r="B1" s="393" t="s">
        <v>66</v>
      </c>
      <c r="C1" s="402" t="s">
        <v>67</v>
      </c>
      <c r="D1" s="403"/>
      <c r="E1" s="403"/>
      <c r="F1" s="403"/>
      <c r="G1" s="403"/>
      <c r="H1" s="382"/>
      <c r="I1" s="402" t="s">
        <v>68</v>
      </c>
      <c r="J1" s="403"/>
      <c r="K1" s="403"/>
      <c r="L1" s="382"/>
      <c r="M1" s="396" t="s">
        <v>69</v>
      </c>
      <c r="N1" s="399" t="s">
        <v>70</v>
      </c>
      <c r="O1" s="385" t="s">
        <v>71</v>
      </c>
      <c r="P1" s="382" t="s">
        <v>72</v>
      </c>
      <c r="Q1" s="385" t="s">
        <v>73</v>
      </c>
      <c r="R1" s="382" t="s">
        <v>74</v>
      </c>
      <c r="S1" s="380"/>
      <c r="T1" s="380"/>
    </row>
    <row r="2" spans="1:20" s="3" customFormat="1" ht="24.75" customHeight="1">
      <c r="A2" s="400"/>
      <c r="B2" s="394"/>
      <c r="C2" s="391" t="s">
        <v>75</v>
      </c>
      <c r="D2" s="391" t="s">
        <v>76</v>
      </c>
      <c r="E2" s="391" t="s">
        <v>77</v>
      </c>
      <c r="F2" s="385"/>
      <c r="G2" s="385" t="s">
        <v>41</v>
      </c>
      <c r="H2" s="385" t="s">
        <v>78</v>
      </c>
      <c r="I2" s="404" t="s">
        <v>79</v>
      </c>
      <c r="J2" s="404" t="s">
        <v>80</v>
      </c>
      <c r="K2" s="404" t="s">
        <v>81</v>
      </c>
      <c r="L2" s="404" t="s">
        <v>82</v>
      </c>
      <c r="M2" s="397"/>
      <c r="N2" s="400"/>
      <c r="O2" s="386"/>
      <c r="P2" s="383"/>
      <c r="Q2" s="383"/>
      <c r="R2" s="383"/>
      <c r="S2" s="381"/>
      <c r="T2" s="381"/>
    </row>
    <row r="3" spans="1:20" s="3" customFormat="1" ht="13.5" customHeight="1">
      <c r="A3" s="401"/>
      <c r="B3" s="395"/>
      <c r="C3" s="392"/>
      <c r="D3" s="392"/>
      <c r="E3" s="4" t="s">
        <v>83</v>
      </c>
      <c r="F3" s="4" t="s">
        <v>84</v>
      </c>
      <c r="G3" s="387"/>
      <c r="H3" s="387"/>
      <c r="I3" s="405"/>
      <c r="J3" s="405"/>
      <c r="K3" s="405"/>
      <c r="L3" s="405"/>
      <c r="M3" s="398"/>
      <c r="N3" s="401"/>
      <c r="O3" s="387"/>
      <c r="P3" s="384"/>
      <c r="Q3" s="384"/>
      <c r="R3" s="384"/>
      <c r="S3" s="381"/>
      <c r="T3" s="381"/>
    </row>
    <row r="4" spans="1:18" s="9" customFormat="1" ht="15">
      <c r="A4" s="5" t="s">
        <v>85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7"/>
      <c r="R4" s="8"/>
    </row>
    <row r="5" spans="1:18" s="18" customFormat="1" ht="12.75">
      <c r="A5" s="10" t="s">
        <v>86</v>
      </c>
      <c r="B5" s="11" t="s">
        <v>87</v>
      </c>
      <c r="C5" s="12">
        <v>800</v>
      </c>
      <c r="D5" s="13">
        <v>1.2</v>
      </c>
      <c r="E5" s="12">
        <v>25</v>
      </c>
      <c r="F5" s="13">
        <v>30</v>
      </c>
      <c r="G5" s="12">
        <v>67</v>
      </c>
      <c r="H5" s="14">
        <v>7</v>
      </c>
      <c r="I5" s="12" t="s">
        <v>42</v>
      </c>
      <c r="J5" s="12" t="s">
        <v>43</v>
      </c>
      <c r="K5" s="12" t="s">
        <v>42</v>
      </c>
      <c r="L5" s="12" t="s">
        <v>42</v>
      </c>
      <c r="M5" s="12" t="s">
        <v>43</v>
      </c>
      <c r="N5" s="12" t="s">
        <v>88</v>
      </c>
      <c r="O5" s="15" t="s">
        <v>89</v>
      </c>
      <c r="P5" s="16" t="s">
        <v>90</v>
      </c>
      <c r="Q5" s="364" t="s">
        <v>91</v>
      </c>
      <c r="R5" s="17"/>
    </row>
    <row r="6" spans="1:18" s="18" customFormat="1" ht="12.75" customHeight="1">
      <c r="A6" s="10" t="s">
        <v>92</v>
      </c>
      <c r="B6" s="11" t="s">
        <v>93</v>
      </c>
      <c r="C6" s="12">
        <v>800</v>
      </c>
      <c r="D6" s="12">
        <v>2.15</v>
      </c>
      <c r="E6" s="12">
        <v>40</v>
      </c>
      <c r="F6" s="12">
        <v>50</v>
      </c>
      <c r="G6" s="12" t="s">
        <v>94</v>
      </c>
      <c r="H6" s="14">
        <v>5</v>
      </c>
      <c r="I6" s="12" t="s">
        <v>42</v>
      </c>
      <c r="J6" s="12" t="s">
        <v>43</v>
      </c>
      <c r="K6" s="12" t="s">
        <v>42</v>
      </c>
      <c r="L6" s="12" t="s">
        <v>42</v>
      </c>
      <c r="M6" s="12" t="s">
        <v>43</v>
      </c>
      <c r="N6" s="12" t="s">
        <v>88</v>
      </c>
      <c r="O6" s="19" t="s">
        <v>95</v>
      </c>
      <c r="P6" s="20" t="s">
        <v>96</v>
      </c>
      <c r="Q6" s="390"/>
      <c r="R6" s="22"/>
    </row>
    <row r="7" spans="1:18" s="18" customFormat="1" ht="12.75">
      <c r="A7" s="10" t="s">
        <v>97</v>
      </c>
      <c r="B7" s="11" t="s">
        <v>98</v>
      </c>
      <c r="C7" s="12">
        <v>800</v>
      </c>
      <c r="D7" s="14">
        <v>4</v>
      </c>
      <c r="E7" s="12">
        <v>80</v>
      </c>
      <c r="F7" s="12">
        <v>100</v>
      </c>
      <c r="G7" s="12" t="s">
        <v>99</v>
      </c>
      <c r="H7" s="14">
        <v>2</v>
      </c>
      <c r="I7" s="12" t="s">
        <v>44</v>
      </c>
      <c r="J7" s="12" t="s">
        <v>43</v>
      </c>
      <c r="K7" s="12" t="s">
        <v>44</v>
      </c>
      <c r="L7" s="12" t="s">
        <v>44</v>
      </c>
      <c r="M7" s="12" t="s">
        <v>45</v>
      </c>
      <c r="N7" s="12" t="s">
        <v>100</v>
      </c>
      <c r="O7" s="350" t="s">
        <v>101</v>
      </c>
      <c r="P7" s="351" t="s">
        <v>102</v>
      </c>
      <c r="Q7" s="362" t="s">
        <v>103</v>
      </c>
      <c r="R7" s="22"/>
    </row>
    <row r="8" spans="1:18" s="18" customFormat="1" ht="12.75">
      <c r="A8" s="24" t="s">
        <v>104</v>
      </c>
      <c r="B8" s="25" t="s">
        <v>98</v>
      </c>
      <c r="C8" s="26">
        <v>800</v>
      </c>
      <c r="D8" s="27">
        <v>4</v>
      </c>
      <c r="E8" s="26">
        <v>80</v>
      </c>
      <c r="F8" s="26">
        <v>100</v>
      </c>
      <c r="G8" s="26">
        <v>100</v>
      </c>
      <c r="H8" s="27">
        <v>2</v>
      </c>
      <c r="I8" s="26" t="s">
        <v>42</v>
      </c>
      <c r="J8" s="26" t="s">
        <v>43</v>
      </c>
      <c r="K8" s="26" t="s">
        <v>42</v>
      </c>
      <c r="L8" s="26" t="s">
        <v>42</v>
      </c>
      <c r="M8" s="26" t="s">
        <v>45</v>
      </c>
      <c r="N8" s="26" t="s">
        <v>48</v>
      </c>
      <c r="O8" s="350"/>
      <c r="P8" s="351"/>
      <c r="Q8" s="362"/>
      <c r="R8" s="22"/>
    </row>
    <row r="9" spans="1:18" s="18" customFormat="1" ht="12.75">
      <c r="A9" s="28" t="s">
        <v>105</v>
      </c>
      <c r="B9" s="29" t="s">
        <v>98</v>
      </c>
      <c r="C9" s="30">
        <v>800</v>
      </c>
      <c r="D9" s="31">
        <v>4</v>
      </c>
      <c r="E9" s="30">
        <v>80</v>
      </c>
      <c r="F9" s="30">
        <v>100</v>
      </c>
      <c r="G9" s="30">
        <v>67</v>
      </c>
      <c r="H9" s="31">
        <v>2</v>
      </c>
      <c r="I9" s="30" t="s">
        <v>42</v>
      </c>
      <c r="J9" s="30" t="s">
        <v>43</v>
      </c>
      <c r="K9" s="30" t="s">
        <v>42</v>
      </c>
      <c r="L9" s="30" t="s">
        <v>42</v>
      </c>
      <c r="M9" s="30" t="s">
        <v>45</v>
      </c>
      <c r="N9" s="30" t="s">
        <v>100</v>
      </c>
      <c r="O9" s="350"/>
      <c r="P9" s="351"/>
      <c r="Q9" s="362"/>
      <c r="R9" s="22"/>
    </row>
    <row r="10" spans="1:18" s="18" customFormat="1" ht="12.75">
      <c r="A10" s="10" t="s">
        <v>106</v>
      </c>
      <c r="B10" s="11" t="s">
        <v>107</v>
      </c>
      <c r="C10" s="12">
        <v>800</v>
      </c>
      <c r="D10" s="14">
        <v>5</v>
      </c>
      <c r="E10" s="12">
        <v>110</v>
      </c>
      <c r="F10" s="12">
        <v>130</v>
      </c>
      <c r="G10" s="12">
        <v>67</v>
      </c>
      <c r="H10" s="12">
        <v>1.5</v>
      </c>
      <c r="I10" s="12" t="s">
        <v>44</v>
      </c>
      <c r="J10" s="12" t="s">
        <v>43</v>
      </c>
      <c r="K10" s="12" t="s">
        <v>44</v>
      </c>
      <c r="L10" s="12" t="s">
        <v>44</v>
      </c>
      <c r="M10" s="12" t="s">
        <v>45</v>
      </c>
      <c r="N10" s="12" t="s">
        <v>108</v>
      </c>
      <c r="O10" s="350" t="s">
        <v>101</v>
      </c>
      <c r="P10" s="351" t="s">
        <v>102</v>
      </c>
      <c r="Q10" s="362"/>
      <c r="R10" s="32"/>
    </row>
    <row r="11" spans="1:18" s="18" customFormat="1" ht="12.75">
      <c r="A11" s="24" t="s">
        <v>109</v>
      </c>
      <c r="B11" s="25" t="s">
        <v>107</v>
      </c>
      <c r="C11" s="26">
        <v>800</v>
      </c>
      <c r="D11" s="27">
        <v>5</v>
      </c>
      <c r="E11" s="26">
        <v>110</v>
      </c>
      <c r="F11" s="26">
        <v>130</v>
      </c>
      <c r="G11" s="26">
        <v>67</v>
      </c>
      <c r="H11" s="26">
        <v>1.5</v>
      </c>
      <c r="I11" s="26" t="s">
        <v>44</v>
      </c>
      <c r="J11" s="26" t="s">
        <v>43</v>
      </c>
      <c r="K11" s="26" t="s">
        <v>44</v>
      </c>
      <c r="L11" s="26" t="s">
        <v>44</v>
      </c>
      <c r="M11" s="26" t="s">
        <v>45</v>
      </c>
      <c r="N11" s="26" t="s">
        <v>46</v>
      </c>
      <c r="O11" s="350"/>
      <c r="P11" s="351"/>
      <c r="Q11" s="362"/>
      <c r="R11" s="33" t="s">
        <v>110</v>
      </c>
    </row>
    <row r="12" spans="1:18" s="18" customFormat="1" ht="12.75" customHeight="1">
      <c r="A12" s="10" t="s">
        <v>111</v>
      </c>
      <c r="B12" s="11" t="s">
        <v>112</v>
      </c>
      <c r="C12" s="12">
        <v>800</v>
      </c>
      <c r="D12" s="14">
        <v>4</v>
      </c>
      <c r="E12" s="12">
        <v>80</v>
      </c>
      <c r="F12" s="12">
        <v>100</v>
      </c>
      <c r="G12" s="12" t="s">
        <v>113</v>
      </c>
      <c r="H12" s="14">
        <v>2</v>
      </c>
      <c r="I12" s="12" t="s">
        <v>44</v>
      </c>
      <c r="J12" s="12" t="s">
        <v>43</v>
      </c>
      <c r="K12" s="12" t="s">
        <v>44</v>
      </c>
      <c r="L12" s="12" t="s">
        <v>44</v>
      </c>
      <c r="M12" s="12" t="s">
        <v>45</v>
      </c>
      <c r="N12" s="12" t="s">
        <v>100</v>
      </c>
      <c r="O12" s="34" t="s">
        <v>114</v>
      </c>
      <c r="P12" s="23" t="s">
        <v>115</v>
      </c>
      <c r="Q12" s="20" t="s">
        <v>116</v>
      </c>
      <c r="R12" s="22"/>
    </row>
    <row r="13" spans="1:18" s="18" customFormat="1" ht="12.75">
      <c r="A13" s="10" t="s">
        <v>117</v>
      </c>
      <c r="B13" s="11" t="s">
        <v>118</v>
      </c>
      <c r="C13" s="12">
        <v>800</v>
      </c>
      <c r="D13" s="14">
        <v>4</v>
      </c>
      <c r="E13" s="12">
        <v>80</v>
      </c>
      <c r="F13" s="12">
        <v>100</v>
      </c>
      <c r="G13" s="12" t="s">
        <v>113</v>
      </c>
      <c r="H13" s="14">
        <v>2</v>
      </c>
      <c r="I13" s="12" t="s">
        <v>42</v>
      </c>
      <c r="J13" s="12" t="s">
        <v>43</v>
      </c>
      <c r="K13" s="12" t="s">
        <v>42</v>
      </c>
      <c r="L13" s="12" t="s">
        <v>42</v>
      </c>
      <c r="M13" s="12" t="s">
        <v>45</v>
      </c>
      <c r="N13" s="12" t="s">
        <v>119</v>
      </c>
      <c r="O13" s="388" t="s">
        <v>120</v>
      </c>
      <c r="P13" s="351" t="s">
        <v>121</v>
      </c>
      <c r="Q13" s="362" t="s">
        <v>122</v>
      </c>
      <c r="R13" s="22"/>
    </row>
    <row r="14" spans="1:18" s="18" customFormat="1" ht="12.75">
      <c r="A14" s="28" t="s">
        <v>123</v>
      </c>
      <c r="B14" s="29" t="s">
        <v>124</v>
      </c>
      <c r="C14" s="30">
        <v>800</v>
      </c>
      <c r="D14" s="31">
        <v>5</v>
      </c>
      <c r="E14" s="30">
        <v>110</v>
      </c>
      <c r="F14" s="30">
        <v>130</v>
      </c>
      <c r="G14" s="30" t="s">
        <v>113</v>
      </c>
      <c r="H14" s="30">
        <v>1.5</v>
      </c>
      <c r="I14" s="30" t="s">
        <v>42</v>
      </c>
      <c r="J14" s="30" t="s">
        <v>43</v>
      </c>
      <c r="K14" s="30" t="s">
        <v>42</v>
      </c>
      <c r="L14" s="30" t="s">
        <v>42</v>
      </c>
      <c r="M14" s="30" t="s">
        <v>45</v>
      </c>
      <c r="N14" s="30" t="s">
        <v>119</v>
      </c>
      <c r="O14" s="389"/>
      <c r="P14" s="351"/>
      <c r="Q14" s="362"/>
      <c r="R14" s="36"/>
    </row>
    <row r="15" spans="1:18" s="9" customFormat="1" ht="15">
      <c r="A15" s="376" t="s">
        <v>125</v>
      </c>
      <c r="B15" s="377"/>
      <c r="C15" s="377"/>
      <c r="D15" s="378"/>
      <c r="E15" s="37"/>
      <c r="F15" s="37"/>
      <c r="G15" s="37"/>
      <c r="H15" s="37"/>
      <c r="I15" s="38"/>
      <c r="J15" s="38"/>
      <c r="K15" s="38"/>
      <c r="L15" s="38"/>
      <c r="M15" s="38"/>
      <c r="N15" s="39"/>
      <c r="O15" s="8"/>
      <c r="P15" s="37"/>
      <c r="Q15" s="40"/>
      <c r="R15" s="37"/>
    </row>
    <row r="16" spans="1:18" s="18" customFormat="1" ht="12.75" customHeight="1">
      <c r="A16" s="10" t="s">
        <v>126</v>
      </c>
      <c r="B16" s="11" t="s">
        <v>127</v>
      </c>
      <c r="C16" s="12">
        <v>650</v>
      </c>
      <c r="D16" s="12">
        <v>0.6</v>
      </c>
      <c r="E16" s="12">
        <v>10</v>
      </c>
      <c r="F16" s="12">
        <v>10</v>
      </c>
      <c r="G16" s="12">
        <v>100</v>
      </c>
      <c r="H16" s="12">
        <v>10</v>
      </c>
      <c r="I16" s="12" t="s">
        <v>42</v>
      </c>
      <c r="J16" s="12" t="s">
        <v>43</v>
      </c>
      <c r="K16" s="12" t="s">
        <v>42</v>
      </c>
      <c r="L16" s="12" t="s">
        <v>42</v>
      </c>
      <c r="M16" s="12" t="s">
        <v>45</v>
      </c>
      <c r="N16" s="12" t="s">
        <v>128</v>
      </c>
      <c r="O16" s="15" t="s">
        <v>129</v>
      </c>
      <c r="P16" s="352" t="s">
        <v>130</v>
      </c>
      <c r="Q16" s="364" t="s">
        <v>131</v>
      </c>
      <c r="R16" s="41"/>
    </row>
    <row r="17" spans="1:18" s="18" customFormat="1" ht="12.75">
      <c r="A17" s="28" t="s">
        <v>132</v>
      </c>
      <c r="B17" s="29" t="s">
        <v>133</v>
      </c>
      <c r="C17" s="30">
        <v>650</v>
      </c>
      <c r="D17" s="30">
        <v>0.6</v>
      </c>
      <c r="E17" s="30">
        <v>15</v>
      </c>
      <c r="F17" s="30">
        <v>15</v>
      </c>
      <c r="G17" s="30">
        <v>100</v>
      </c>
      <c r="H17" s="30">
        <v>10</v>
      </c>
      <c r="I17" s="30" t="s">
        <v>42</v>
      </c>
      <c r="J17" s="30" t="s">
        <v>43</v>
      </c>
      <c r="K17" s="30" t="s">
        <v>42</v>
      </c>
      <c r="L17" s="30" t="s">
        <v>42</v>
      </c>
      <c r="M17" s="30" t="s">
        <v>43</v>
      </c>
      <c r="N17" s="30" t="s">
        <v>88</v>
      </c>
      <c r="O17" s="35" t="s">
        <v>134</v>
      </c>
      <c r="P17" s="353"/>
      <c r="Q17" s="365"/>
      <c r="R17" s="42"/>
    </row>
    <row r="18" spans="1:18" s="18" customFormat="1" ht="12.75">
      <c r="A18" s="24" t="s">
        <v>135</v>
      </c>
      <c r="B18" s="25" t="s">
        <v>136</v>
      </c>
      <c r="C18" s="26">
        <v>650</v>
      </c>
      <c r="D18" s="26">
        <v>1.2</v>
      </c>
      <c r="E18" s="26">
        <v>25</v>
      </c>
      <c r="F18" s="26">
        <v>30</v>
      </c>
      <c r="G18" s="26">
        <v>67</v>
      </c>
      <c r="H18" s="27">
        <v>6</v>
      </c>
      <c r="I18" s="26" t="s">
        <v>42</v>
      </c>
      <c r="J18" s="26" t="s">
        <v>43</v>
      </c>
      <c r="K18" s="26" t="s">
        <v>42</v>
      </c>
      <c r="L18" s="26" t="s">
        <v>42</v>
      </c>
      <c r="M18" s="26" t="s">
        <v>43</v>
      </c>
      <c r="N18" s="26" t="s">
        <v>88</v>
      </c>
      <c r="O18" s="34" t="s">
        <v>89</v>
      </c>
      <c r="P18" s="21" t="s">
        <v>137</v>
      </c>
      <c r="Q18" s="343" t="s">
        <v>91</v>
      </c>
      <c r="R18" s="42"/>
    </row>
    <row r="19" spans="1:18" s="18" customFormat="1" ht="12.75">
      <c r="A19" s="43" t="s">
        <v>138</v>
      </c>
      <c r="B19" s="44" t="s">
        <v>139</v>
      </c>
      <c r="C19" s="23">
        <v>650</v>
      </c>
      <c r="D19" s="23">
        <v>2.15</v>
      </c>
      <c r="E19" s="23">
        <v>40</v>
      </c>
      <c r="F19" s="23">
        <v>50</v>
      </c>
      <c r="G19" s="23">
        <v>67</v>
      </c>
      <c r="H19" s="23">
        <v>4.5</v>
      </c>
      <c r="I19" s="23" t="s">
        <v>42</v>
      </c>
      <c r="J19" s="23" t="s">
        <v>43</v>
      </c>
      <c r="K19" s="23" t="s">
        <v>42</v>
      </c>
      <c r="L19" s="23" t="s">
        <v>42</v>
      </c>
      <c r="M19" s="23" t="s">
        <v>43</v>
      </c>
      <c r="N19" s="23" t="s">
        <v>88</v>
      </c>
      <c r="O19" s="19" t="s">
        <v>95</v>
      </c>
      <c r="P19" s="20" t="s">
        <v>140</v>
      </c>
      <c r="Q19" s="343"/>
      <c r="R19" s="42"/>
    </row>
    <row r="20" spans="1:18" s="18" customFormat="1" ht="12.75">
      <c r="A20" s="10" t="s">
        <v>141</v>
      </c>
      <c r="B20" s="25" t="s">
        <v>142</v>
      </c>
      <c r="C20" s="26">
        <v>650</v>
      </c>
      <c r="D20" s="26">
        <v>3.5</v>
      </c>
      <c r="E20" s="26">
        <v>50</v>
      </c>
      <c r="F20" s="26">
        <v>60</v>
      </c>
      <c r="G20" s="26" t="s">
        <v>99</v>
      </c>
      <c r="H20" s="26">
        <v>2.2</v>
      </c>
      <c r="I20" s="26" t="s">
        <v>42</v>
      </c>
      <c r="J20" s="26" t="s">
        <v>43</v>
      </c>
      <c r="K20" s="26" t="s">
        <v>42</v>
      </c>
      <c r="L20" s="26" t="s">
        <v>42</v>
      </c>
      <c r="M20" s="26" t="s">
        <v>43</v>
      </c>
      <c r="N20" s="26" t="s">
        <v>88</v>
      </c>
      <c r="O20" s="34" t="s">
        <v>143</v>
      </c>
      <c r="P20" s="21" t="s">
        <v>144</v>
      </c>
      <c r="Q20" s="343"/>
      <c r="R20" s="42"/>
    </row>
    <row r="21" spans="1:18" s="18" customFormat="1" ht="12.75">
      <c r="A21" s="10" t="s">
        <v>145</v>
      </c>
      <c r="B21" s="11" t="s">
        <v>146</v>
      </c>
      <c r="C21" s="12">
        <v>650</v>
      </c>
      <c r="D21" s="14">
        <v>5</v>
      </c>
      <c r="E21" s="12">
        <v>100</v>
      </c>
      <c r="F21" s="12">
        <v>120</v>
      </c>
      <c r="G21" s="12">
        <v>67</v>
      </c>
      <c r="H21" s="12">
        <v>1.6</v>
      </c>
      <c r="I21" s="12" t="s">
        <v>42</v>
      </c>
      <c r="J21" s="12" t="s">
        <v>43</v>
      </c>
      <c r="K21" s="12" t="s">
        <v>42</v>
      </c>
      <c r="L21" s="12" t="s">
        <v>42</v>
      </c>
      <c r="M21" s="12" t="s">
        <v>45</v>
      </c>
      <c r="N21" s="12" t="s">
        <v>100</v>
      </c>
      <c r="O21" s="352" t="s">
        <v>101</v>
      </c>
      <c r="P21" s="352" t="s">
        <v>147</v>
      </c>
      <c r="Q21" s="352" t="s">
        <v>148</v>
      </c>
      <c r="R21" s="42"/>
    </row>
    <row r="22" spans="1:18" s="18" customFormat="1" ht="13.5" customHeight="1">
      <c r="A22" s="28" t="s">
        <v>149</v>
      </c>
      <c r="B22" s="29" t="s">
        <v>150</v>
      </c>
      <c r="C22" s="30">
        <v>650</v>
      </c>
      <c r="D22" s="31">
        <v>6</v>
      </c>
      <c r="E22" s="30">
        <v>120</v>
      </c>
      <c r="F22" s="30">
        <v>145</v>
      </c>
      <c r="G22" s="30">
        <v>67</v>
      </c>
      <c r="H22" s="30">
        <v>1.2</v>
      </c>
      <c r="I22" s="30" t="s">
        <v>42</v>
      </c>
      <c r="J22" s="30" t="s">
        <v>43</v>
      </c>
      <c r="K22" s="30" t="s">
        <v>42</v>
      </c>
      <c r="L22" s="30" t="s">
        <v>42</v>
      </c>
      <c r="M22" s="30" t="s">
        <v>45</v>
      </c>
      <c r="N22" s="30" t="s">
        <v>100</v>
      </c>
      <c r="O22" s="353"/>
      <c r="P22" s="353"/>
      <c r="Q22" s="353"/>
      <c r="R22" s="42"/>
    </row>
    <row r="23" spans="1:18" s="9" customFormat="1" ht="15">
      <c r="A23" s="379" t="s">
        <v>151</v>
      </c>
      <c r="B23" s="379"/>
      <c r="C23" s="379"/>
      <c r="D23" s="379"/>
      <c r="E23" s="45"/>
      <c r="F23" s="45"/>
      <c r="G23" s="45"/>
      <c r="H23" s="45"/>
      <c r="I23" s="46"/>
      <c r="J23" s="46"/>
      <c r="K23" s="46"/>
      <c r="L23" s="46"/>
      <c r="M23" s="46"/>
      <c r="N23" s="47"/>
      <c r="O23" s="48"/>
      <c r="P23" s="45"/>
      <c r="Q23" s="49"/>
      <c r="R23" s="37"/>
    </row>
    <row r="24" spans="1:19" s="3" customFormat="1" ht="13.5">
      <c r="A24" s="50" t="s">
        <v>87</v>
      </c>
      <c r="B24" s="51"/>
      <c r="C24" s="52">
        <v>800</v>
      </c>
      <c r="D24" s="52">
        <v>1.2</v>
      </c>
      <c r="E24" s="52">
        <v>25</v>
      </c>
      <c r="F24" s="52">
        <v>30</v>
      </c>
      <c r="G24" s="52" t="s">
        <v>99</v>
      </c>
      <c r="H24" s="53">
        <v>7</v>
      </c>
      <c r="I24" s="52" t="s">
        <v>42</v>
      </c>
      <c r="J24" s="52" t="s">
        <v>152</v>
      </c>
      <c r="K24" s="52" t="s">
        <v>42</v>
      </c>
      <c r="L24" s="52" t="s">
        <v>42</v>
      </c>
      <c r="M24" s="52" t="s">
        <v>43</v>
      </c>
      <c r="N24" s="52" t="s">
        <v>88</v>
      </c>
      <c r="O24" s="54" t="s">
        <v>89</v>
      </c>
      <c r="P24" s="55" t="s">
        <v>90</v>
      </c>
      <c r="Q24" s="342" t="s">
        <v>91</v>
      </c>
      <c r="R24" s="56"/>
      <c r="S24" s="57"/>
    </row>
    <row r="25" spans="1:18" s="3" customFormat="1" ht="12.75">
      <c r="A25" s="50" t="s">
        <v>93</v>
      </c>
      <c r="B25" s="51"/>
      <c r="C25" s="52">
        <v>800</v>
      </c>
      <c r="D25" s="52">
        <v>2.15</v>
      </c>
      <c r="E25" s="52">
        <v>40</v>
      </c>
      <c r="F25" s="52">
        <v>50</v>
      </c>
      <c r="G25" s="52" t="s">
        <v>153</v>
      </c>
      <c r="H25" s="53">
        <v>5</v>
      </c>
      <c r="I25" s="52" t="s">
        <v>42</v>
      </c>
      <c r="J25" s="52" t="s">
        <v>152</v>
      </c>
      <c r="K25" s="52" t="s">
        <v>42</v>
      </c>
      <c r="L25" s="52" t="s">
        <v>42</v>
      </c>
      <c r="M25" s="52" t="s">
        <v>43</v>
      </c>
      <c r="N25" s="52" t="s">
        <v>88</v>
      </c>
      <c r="O25" s="54" t="s">
        <v>95</v>
      </c>
      <c r="P25" s="55" t="s">
        <v>140</v>
      </c>
      <c r="Q25" s="343"/>
      <c r="R25" s="58"/>
    </row>
    <row r="26" spans="1:18" s="3" customFormat="1" ht="12.75">
      <c r="A26" s="59" t="s">
        <v>154</v>
      </c>
      <c r="B26" s="60"/>
      <c r="C26" s="61">
        <v>800</v>
      </c>
      <c r="D26" s="62">
        <v>4</v>
      </c>
      <c r="E26" s="61">
        <v>80</v>
      </c>
      <c r="F26" s="61">
        <v>100</v>
      </c>
      <c r="G26" s="61" t="s">
        <v>113</v>
      </c>
      <c r="H26" s="62">
        <v>2</v>
      </c>
      <c r="I26" s="61" t="s">
        <v>42</v>
      </c>
      <c r="J26" s="61" t="s">
        <v>44</v>
      </c>
      <c r="K26" s="61" t="s">
        <v>42</v>
      </c>
      <c r="L26" s="61" t="s">
        <v>44</v>
      </c>
      <c r="M26" s="61" t="s">
        <v>45</v>
      </c>
      <c r="N26" s="61" t="s">
        <v>155</v>
      </c>
      <c r="O26" s="63" t="s">
        <v>101</v>
      </c>
      <c r="P26" s="61" t="s">
        <v>156</v>
      </c>
      <c r="Q26" s="64" t="s">
        <v>157</v>
      </c>
      <c r="R26" s="65" t="s">
        <v>158</v>
      </c>
    </row>
    <row r="27" spans="1:18" s="9" customFormat="1" ht="15">
      <c r="A27" s="379" t="s">
        <v>159</v>
      </c>
      <c r="B27" s="379"/>
      <c r="C27" s="379"/>
      <c r="D27" s="379"/>
      <c r="E27" s="45"/>
      <c r="F27" s="45"/>
      <c r="G27" s="45"/>
      <c r="H27" s="45"/>
      <c r="I27" s="46"/>
      <c r="J27" s="46"/>
      <c r="K27" s="46"/>
      <c r="L27" s="46"/>
      <c r="M27" s="46"/>
      <c r="N27" s="47"/>
      <c r="O27" s="48"/>
      <c r="P27" s="45"/>
      <c r="Q27" s="49"/>
      <c r="R27" s="37"/>
    </row>
    <row r="28" spans="1:18" s="3" customFormat="1" ht="12.75">
      <c r="A28" s="50" t="s">
        <v>133</v>
      </c>
      <c r="B28" s="51"/>
      <c r="C28" s="52">
        <v>650</v>
      </c>
      <c r="D28" s="52">
        <v>0.6</v>
      </c>
      <c r="E28" s="52">
        <v>15</v>
      </c>
      <c r="F28" s="52">
        <v>15</v>
      </c>
      <c r="G28" s="52" t="s">
        <v>153</v>
      </c>
      <c r="H28" s="52">
        <v>10</v>
      </c>
      <c r="I28" s="52" t="s">
        <v>42</v>
      </c>
      <c r="J28" s="52" t="s">
        <v>152</v>
      </c>
      <c r="K28" s="52" t="s">
        <v>42</v>
      </c>
      <c r="L28" s="52" t="s">
        <v>42</v>
      </c>
      <c r="M28" s="52" t="s">
        <v>43</v>
      </c>
      <c r="N28" s="52" t="s">
        <v>88</v>
      </c>
      <c r="O28" s="342" t="s">
        <v>160</v>
      </c>
      <c r="P28" s="342" t="s">
        <v>161</v>
      </c>
      <c r="Q28" s="342" t="s">
        <v>131</v>
      </c>
      <c r="R28" s="66"/>
    </row>
    <row r="29" spans="1:18" s="3" customFormat="1" ht="12.75">
      <c r="A29" s="67" t="s">
        <v>127</v>
      </c>
      <c r="B29" s="68" t="s">
        <v>162</v>
      </c>
      <c r="C29" s="69">
        <v>650</v>
      </c>
      <c r="D29" s="69">
        <v>0.6</v>
      </c>
      <c r="E29" s="69">
        <v>10</v>
      </c>
      <c r="F29" s="69">
        <v>10</v>
      </c>
      <c r="G29" s="69" t="s">
        <v>153</v>
      </c>
      <c r="H29" s="69">
        <v>10</v>
      </c>
      <c r="I29" s="69" t="s">
        <v>42</v>
      </c>
      <c r="J29" s="69" t="s">
        <v>152</v>
      </c>
      <c r="K29" s="69" t="s">
        <v>42</v>
      </c>
      <c r="L29" s="69" t="s">
        <v>42</v>
      </c>
      <c r="M29" s="69" t="s">
        <v>43</v>
      </c>
      <c r="N29" s="69" t="s">
        <v>128</v>
      </c>
      <c r="O29" s="343"/>
      <c r="P29" s="343"/>
      <c r="Q29" s="343"/>
      <c r="R29" s="58"/>
    </row>
    <row r="30" spans="1:19" s="3" customFormat="1" ht="13.5">
      <c r="A30" s="50" t="s">
        <v>163</v>
      </c>
      <c r="B30" s="70" t="s">
        <v>164</v>
      </c>
      <c r="C30" s="52">
        <v>650</v>
      </c>
      <c r="D30" s="52">
        <v>0.9</v>
      </c>
      <c r="E30" s="52">
        <v>15</v>
      </c>
      <c r="F30" s="52">
        <v>17</v>
      </c>
      <c r="G30" s="52" t="s">
        <v>99</v>
      </c>
      <c r="H30" s="53">
        <v>6</v>
      </c>
      <c r="I30" s="52" t="s">
        <v>42</v>
      </c>
      <c r="J30" s="52" t="s">
        <v>152</v>
      </c>
      <c r="K30" s="52" t="s">
        <v>42</v>
      </c>
      <c r="L30" s="52" t="s">
        <v>42</v>
      </c>
      <c r="M30" s="52" t="s">
        <v>43</v>
      </c>
      <c r="N30" s="52" t="s">
        <v>51</v>
      </c>
      <c r="O30" s="372" t="s">
        <v>89</v>
      </c>
      <c r="P30" s="342" t="s">
        <v>137</v>
      </c>
      <c r="Q30" s="343"/>
      <c r="R30" s="71"/>
      <c r="S30" s="57"/>
    </row>
    <row r="31" spans="1:19" s="3" customFormat="1" ht="12.75">
      <c r="A31" s="67" t="s">
        <v>165</v>
      </c>
      <c r="B31" s="72"/>
      <c r="C31" s="69">
        <v>650</v>
      </c>
      <c r="D31" s="69">
        <v>1.2</v>
      </c>
      <c r="E31" s="69">
        <v>25</v>
      </c>
      <c r="F31" s="69">
        <v>30</v>
      </c>
      <c r="G31" s="69">
        <v>100</v>
      </c>
      <c r="H31" s="73">
        <v>6</v>
      </c>
      <c r="I31" s="69" t="s">
        <v>42</v>
      </c>
      <c r="J31" s="69" t="s">
        <v>152</v>
      </c>
      <c r="K31" s="69" t="s">
        <v>42</v>
      </c>
      <c r="L31" s="69" t="s">
        <v>42</v>
      </c>
      <c r="M31" s="69" t="s">
        <v>45</v>
      </c>
      <c r="N31" s="69" t="s">
        <v>155</v>
      </c>
      <c r="O31" s="375"/>
      <c r="P31" s="343"/>
      <c r="Q31" s="363" t="s">
        <v>91</v>
      </c>
      <c r="R31" s="71"/>
      <c r="S31" s="75"/>
    </row>
    <row r="32" spans="1:18" s="3" customFormat="1" ht="12.75">
      <c r="A32" s="59" t="s">
        <v>136</v>
      </c>
      <c r="B32" s="60"/>
      <c r="C32" s="61">
        <v>650</v>
      </c>
      <c r="D32" s="61">
        <v>1.2</v>
      </c>
      <c r="E32" s="61">
        <v>25</v>
      </c>
      <c r="F32" s="61">
        <v>30</v>
      </c>
      <c r="G32" s="61" t="s">
        <v>94</v>
      </c>
      <c r="H32" s="62">
        <v>6</v>
      </c>
      <c r="I32" s="61" t="s">
        <v>42</v>
      </c>
      <c r="J32" s="61" t="s">
        <v>152</v>
      </c>
      <c r="K32" s="61" t="s">
        <v>42</v>
      </c>
      <c r="L32" s="61" t="s">
        <v>42</v>
      </c>
      <c r="M32" s="61" t="s">
        <v>43</v>
      </c>
      <c r="N32" s="61" t="s">
        <v>88</v>
      </c>
      <c r="O32" s="373"/>
      <c r="P32" s="344"/>
      <c r="Q32" s="363"/>
      <c r="R32" s="58"/>
    </row>
    <row r="33" spans="1:18" s="82" customFormat="1" ht="13.5" customHeight="1">
      <c r="A33" s="76" t="s">
        <v>166</v>
      </c>
      <c r="B33" s="68" t="s">
        <v>167</v>
      </c>
      <c r="C33" s="77">
        <v>650</v>
      </c>
      <c r="D33" s="78">
        <v>2.15</v>
      </c>
      <c r="E33" s="77">
        <v>25</v>
      </c>
      <c r="F33" s="77">
        <v>30</v>
      </c>
      <c r="G33" s="77" t="s">
        <v>94</v>
      </c>
      <c r="H33" s="79">
        <v>4.5</v>
      </c>
      <c r="I33" s="77" t="s">
        <v>42</v>
      </c>
      <c r="J33" s="77" t="s">
        <v>42</v>
      </c>
      <c r="K33" s="77" t="s">
        <v>42</v>
      </c>
      <c r="L33" s="77" t="s">
        <v>42</v>
      </c>
      <c r="M33" s="77" t="s">
        <v>43</v>
      </c>
      <c r="N33" s="77" t="s">
        <v>128</v>
      </c>
      <c r="O33" s="80" t="s">
        <v>168</v>
      </c>
      <c r="P33" s="343" t="s">
        <v>140</v>
      </c>
      <c r="Q33" s="363"/>
      <c r="R33" s="81"/>
    </row>
    <row r="34" spans="1:18" s="3" customFormat="1" ht="12.75">
      <c r="A34" s="67" t="s">
        <v>139</v>
      </c>
      <c r="B34" s="72"/>
      <c r="C34" s="69">
        <v>650</v>
      </c>
      <c r="D34" s="69">
        <v>2.15</v>
      </c>
      <c r="E34" s="69">
        <v>40</v>
      </c>
      <c r="F34" s="69">
        <v>50</v>
      </c>
      <c r="G34" s="69" t="s">
        <v>153</v>
      </c>
      <c r="H34" s="69">
        <v>4.5</v>
      </c>
      <c r="I34" s="69" t="s">
        <v>42</v>
      </c>
      <c r="J34" s="69" t="s">
        <v>42</v>
      </c>
      <c r="K34" s="69" t="s">
        <v>42</v>
      </c>
      <c r="L34" s="69" t="s">
        <v>42</v>
      </c>
      <c r="M34" s="69" t="s">
        <v>43</v>
      </c>
      <c r="N34" s="69" t="s">
        <v>88</v>
      </c>
      <c r="O34" s="74" t="s">
        <v>95</v>
      </c>
      <c r="P34" s="343"/>
      <c r="Q34" s="363"/>
      <c r="R34" s="58"/>
    </row>
    <row r="35" spans="1:18" s="3" customFormat="1" ht="12.75">
      <c r="A35" s="50" t="s">
        <v>146</v>
      </c>
      <c r="B35" s="51"/>
      <c r="C35" s="52">
        <v>650</v>
      </c>
      <c r="D35" s="53">
        <v>5</v>
      </c>
      <c r="E35" s="52">
        <v>100</v>
      </c>
      <c r="F35" s="52">
        <v>120</v>
      </c>
      <c r="G35" s="52">
        <v>67</v>
      </c>
      <c r="H35" s="52">
        <v>1.6</v>
      </c>
      <c r="I35" s="52" t="s">
        <v>42</v>
      </c>
      <c r="J35" s="52" t="s">
        <v>42</v>
      </c>
      <c r="K35" s="52" t="s">
        <v>42</v>
      </c>
      <c r="L35" s="52" t="s">
        <v>42</v>
      </c>
      <c r="M35" s="52" t="s">
        <v>45</v>
      </c>
      <c r="N35" s="52" t="s">
        <v>155</v>
      </c>
      <c r="O35" s="372" t="s">
        <v>101</v>
      </c>
      <c r="P35" s="368" t="s">
        <v>147</v>
      </c>
      <c r="Q35" s="345" t="s">
        <v>148</v>
      </c>
      <c r="R35" s="356"/>
    </row>
    <row r="36" spans="1:18" s="3" customFormat="1" ht="12.75">
      <c r="A36" s="59" t="s">
        <v>150</v>
      </c>
      <c r="B36" s="60"/>
      <c r="C36" s="61">
        <v>650</v>
      </c>
      <c r="D36" s="62">
        <v>6</v>
      </c>
      <c r="E36" s="61">
        <v>120</v>
      </c>
      <c r="F36" s="61">
        <v>145</v>
      </c>
      <c r="G36" s="61">
        <v>67</v>
      </c>
      <c r="H36" s="61">
        <v>1.2</v>
      </c>
      <c r="I36" s="61" t="s">
        <v>44</v>
      </c>
      <c r="J36" s="61" t="s">
        <v>44</v>
      </c>
      <c r="K36" s="61" t="s">
        <v>44</v>
      </c>
      <c r="L36" s="61" t="s">
        <v>44</v>
      </c>
      <c r="M36" s="61" t="s">
        <v>45</v>
      </c>
      <c r="N36" s="61" t="s">
        <v>100</v>
      </c>
      <c r="O36" s="373"/>
      <c r="P36" s="370"/>
      <c r="Q36" s="345"/>
      <c r="R36" s="356"/>
    </row>
    <row r="37" spans="1:18" s="18" customFormat="1" ht="12.75">
      <c r="A37" s="24" t="s">
        <v>169</v>
      </c>
      <c r="B37" s="25" t="s">
        <v>112</v>
      </c>
      <c r="C37" s="26">
        <v>650</v>
      </c>
      <c r="D37" s="27">
        <v>4</v>
      </c>
      <c r="E37" s="26">
        <v>80</v>
      </c>
      <c r="F37" s="26">
        <v>100</v>
      </c>
      <c r="G37" s="26" t="s">
        <v>170</v>
      </c>
      <c r="H37" s="26">
        <v>1.6</v>
      </c>
      <c r="I37" s="26" t="s">
        <v>44</v>
      </c>
      <c r="J37" s="26" t="s">
        <v>44</v>
      </c>
      <c r="K37" s="26" t="s">
        <v>44</v>
      </c>
      <c r="L37" s="26" t="s">
        <v>44</v>
      </c>
      <c r="M37" s="26" t="s">
        <v>45</v>
      </c>
      <c r="N37" s="26" t="s">
        <v>155</v>
      </c>
      <c r="O37" s="34" t="s">
        <v>114</v>
      </c>
      <c r="P37" s="371" t="s">
        <v>115</v>
      </c>
      <c r="Q37" s="362" t="s">
        <v>116</v>
      </c>
      <c r="R37" s="42"/>
    </row>
    <row r="38" spans="1:18" s="18" customFormat="1" ht="12.75">
      <c r="A38" s="24" t="s">
        <v>171</v>
      </c>
      <c r="B38" s="25" t="s">
        <v>172</v>
      </c>
      <c r="C38" s="26">
        <v>650</v>
      </c>
      <c r="D38" s="27">
        <v>6</v>
      </c>
      <c r="E38" s="26">
        <v>120</v>
      </c>
      <c r="F38" s="26">
        <v>145</v>
      </c>
      <c r="G38" s="26" t="s">
        <v>170</v>
      </c>
      <c r="H38" s="26">
        <v>1.2</v>
      </c>
      <c r="I38" s="26" t="s">
        <v>44</v>
      </c>
      <c r="J38" s="26" t="s">
        <v>44</v>
      </c>
      <c r="K38" s="26" t="s">
        <v>44</v>
      </c>
      <c r="L38" s="26" t="s">
        <v>44</v>
      </c>
      <c r="M38" s="26" t="s">
        <v>45</v>
      </c>
      <c r="N38" s="26" t="s">
        <v>100</v>
      </c>
      <c r="O38" s="34" t="s">
        <v>173</v>
      </c>
      <c r="P38" s="371"/>
      <c r="Q38" s="362"/>
      <c r="R38" s="42"/>
    </row>
    <row r="39" spans="1:18" s="18" customFormat="1" ht="12.75">
      <c r="A39" s="24" t="s">
        <v>174</v>
      </c>
      <c r="B39" s="25" t="s">
        <v>175</v>
      </c>
      <c r="C39" s="26">
        <v>650</v>
      </c>
      <c r="D39" s="27">
        <v>6</v>
      </c>
      <c r="E39" s="26">
        <v>120</v>
      </c>
      <c r="F39" s="26">
        <v>145</v>
      </c>
      <c r="G39" s="26" t="s">
        <v>170</v>
      </c>
      <c r="H39" s="26">
        <v>0.9</v>
      </c>
      <c r="I39" s="26" t="s">
        <v>44</v>
      </c>
      <c r="J39" s="26" t="s">
        <v>44</v>
      </c>
      <c r="K39" s="26" t="s">
        <v>44</v>
      </c>
      <c r="L39" s="26" t="s">
        <v>44</v>
      </c>
      <c r="M39" s="26" t="s">
        <v>45</v>
      </c>
      <c r="N39" s="26" t="s">
        <v>100</v>
      </c>
      <c r="O39" s="34" t="s">
        <v>176</v>
      </c>
      <c r="P39" s="371"/>
      <c r="Q39" s="362"/>
      <c r="R39" s="42"/>
    </row>
    <row r="40" spans="1:18" s="18" customFormat="1" ht="12.75">
      <c r="A40" s="24" t="s">
        <v>177</v>
      </c>
      <c r="B40" s="25" t="s">
        <v>175</v>
      </c>
      <c r="C40" s="26">
        <v>650</v>
      </c>
      <c r="D40" s="27">
        <v>8</v>
      </c>
      <c r="E40" s="26">
        <v>160</v>
      </c>
      <c r="F40" s="26">
        <v>190</v>
      </c>
      <c r="G40" s="26" t="s">
        <v>170</v>
      </c>
      <c r="H40" s="26">
        <v>0.9</v>
      </c>
      <c r="I40" s="26" t="s">
        <v>44</v>
      </c>
      <c r="J40" s="26" t="s">
        <v>44</v>
      </c>
      <c r="K40" s="26" t="s">
        <v>44</v>
      </c>
      <c r="L40" s="26" t="s">
        <v>44</v>
      </c>
      <c r="M40" s="26" t="s">
        <v>45</v>
      </c>
      <c r="N40" s="26" t="s">
        <v>100</v>
      </c>
      <c r="O40" s="34" t="s">
        <v>176</v>
      </c>
      <c r="P40" s="371"/>
      <c r="Q40" s="362"/>
      <c r="R40" s="42"/>
    </row>
    <row r="41" spans="1:18" s="3" customFormat="1" ht="12.75">
      <c r="A41" s="83" t="s">
        <v>178</v>
      </c>
      <c r="B41" s="84"/>
      <c r="C41" s="85">
        <v>650</v>
      </c>
      <c r="D41" s="86">
        <v>3.5</v>
      </c>
      <c r="E41" s="85">
        <v>70</v>
      </c>
      <c r="F41" s="85">
        <v>80</v>
      </c>
      <c r="G41" s="85" t="s">
        <v>179</v>
      </c>
      <c r="H41" s="85">
        <v>2.2</v>
      </c>
      <c r="I41" s="85" t="s">
        <v>152</v>
      </c>
      <c r="J41" s="85" t="s">
        <v>180</v>
      </c>
      <c r="K41" s="85" t="s">
        <v>152</v>
      </c>
      <c r="L41" s="85" t="s">
        <v>180</v>
      </c>
      <c r="M41" s="85" t="s">
        <v>181</v>
      </c>
      <c r="N41" s="85" t="s">
        <v>182</v>
      </c>
      <c r="O41" s="87"/>
      <c r="P41" s="368" t="s">
        <v>121</v>
      </c>
      <c r="Q41" s="342" t="s">
        <v>122</v>
      </c>
      <c r="R41" s="357" t="s">
        <v>183</v>
      </c>
    </row>
    <row r="42" spans="1:18" s="82" customFormat="1" ht="12.75">
      <c r="A42" s="67" t="s">
        <v>184</v>
      </c>
      <c r="B42" s="72"/>
      <c r="C42" s="69">
        <v>400</v>
      </c>
      <c r="D42" s="73">
        <v>5</v>
      </c>
      <c r="E42" s="69">
        <v>100</v>
      </c>
      <c r="F42" s="69" t="s">
        <v>185</v>
      </c>
      <c r="G42" s="69" t="s">
        <v>179</v>
      </c>
      <c r="H42" s="69">
        <v>1.1</v>
      </c>
      <c r="I42" s="69" t="s">
        <v>42</v>
      </c>
      <c r="J42" s="69" t="s">
        <v>44</v>
      </c>
      <c r="K42" s="69" t="s">
        <v>42</v>
      </c>
      <c r="L42" s="69" t="s">
        <v>44</v>
      </c>
      <c r="M42" s="69" t="s">
        <v>43</v>
      </c>
      <c r="N42" s="69" t="s">
        <v>182</v>
      </c>
      <c r="O42" s="88" t="s">
        <v>185</v>
      </c>
      <c r="P42" s="369"/>
      <c r="Q42" s="343"/>
      <c r="R42" s="358"/>
    </row>
    <row r="43" spans="1:18" s="82" customFormat="1" ht="12.75">
      <c r="A43" s="76" t="s">
        <v>118</v>
      </c>
      <c r="B43" s="68" t="s">
        <v>186</v>
      </c>
      <c r="C43" s="77">
        <v>650</v>
      </c>
      <c r="D43" s="79">
        <v>5</v>
      </c>
      <c r="E43" s="77">
        <v>100</v>
      </c>
      <c r="F43" s="77">
        <v>130</v>
      </c>
      <c r="G43" s="77" t="s">
        <v>179</v>
      </c>
      <c r="H43" s="77">
        <v>1.6</v>
      </c>
      <c r="I43" s="77" t="s">
        <v>152</v>
      </c>
      <c r="J43" s="77" t="s">
        <v>180</v>
      </c>
      <c r="K43" s="77" t="s">
        <v>152</v>
      </c>
      <c r="L43" s="77" t="s">
        <v>180</v>
      </c>
      <c r="M43" s="77" t="s">
        <v>181</v>
      </c>
      <c r="N43" s="77" t="s">
        <v>182</v>
      </c>
      <c r="O43" s="88" t="s">
        <v>49</v>
      </c>
      <c r="P43" s="369"/>
      <c r="Q43" s="343"/>
      <c r="R43" s="356"/>
    </row>
    <row r="44" spans="1:18" s="3" customFormat="1" ht="12.75">
      <c r="A44" s="67" t="s">
        <v>124</v>
      </c>
      <c r="B44" s="72"/>
      <c r="C44" s="69">
        <v>650</v>
      </c>
      <c r="D44" s="73">
        <v>6</v>
      </c>
      <c r="E44" s="69">
        <v>150</v>
      </c>
      <c r="F44" s="69">
        <v>180</v>
      </c>
      <c r="G44" s="69" t="s">
        <v>179</v>
      </c>
      <c r="H44" s="69">
        <v>0.9</v>
      </c>
      <c r="I44" s="69" t="s">
        <v>42</v>
      </c>
      <c r="J44" s="69" t="s">
        <v>44</v>
      </c>
      <c r="K44" s="69" t="s">
        <v>42</v>
      </c>
      <c r="L44" s="69" t="s">
        <v>44</v>
      </c>
      <c r="M44" s="69" t="s">
        <v>43</v>
      </c>
      <c r="N44" s="69" t="s">
        <v>182</v>
      </c>
      <c r="O44" s="88" t="s">
        <v>173</v>
      </c>
      <c r="P44" s="369"/>
      <c r="Q44" s="343"/>
      <c r="R44" s="356"/>
    </row>
    <row r="45" spans="1:18" s="3" customFormat="1" ht="12.75">
      <c r="A45" s="67" t="s">
        <v>187</v>
      </c>
      <c r="B45" s="72"/>
      <c r="C45" s="69">
        <v>650</v>
      </c>
      <c r="D45" s="73">
        <v>8</v>
      </c>
      <c r="E45" s="69">
        <v>200</v>
      </c>
      <c r="F45" s="69">
        <v>230</v>
      </c>
      <c r="G45" s="69" t="s">
        <v>179</v>
      </c>
      <c r="H45" s="69">
        <v>0.9</v>
      </c>
      <c r="I45" s="69" t="s">
        <v>42</v>
      </c>
      <c r="J45" s="69" t="s">
        <v>44</v>
      </c>
      <c r="K45" s="69" t="s">
        <v>42</v>
      </c>
      <c r="L45" s="69" t="s">
        <v>44</v>
      </c>
      <c r="M45" s="69" t="s">
        <v>43</v>
      </c>
      <c r="N45" s="69" t="s">
        <v>119</v>
      </c>
      <c r="O45" s="88" t="s">
        <v>176</v>
      </c>
      <c r="P45" s="369"/>
      <c r="Q45" s="343"/>
      <c r="R45" s="356"/>
    </row>
    <row r="46" spans="1:18" s="93" customFormat="1" ht="12.75">
      <c r="A46" s="89" t="s">
        <v>188</v>
      </c>
      <c r="B46" s="68"/>
      <c r="C46" s="90">
        <v>650</v>
      </c>
      <c r="D46" s="91">
        <v>8</v>
      </c>
      <c r="E46" s="90">
        <v>200</v>
      </c>
      <c r="F46" s="90">
        <v>230</v>
      </c>
      <c r="G46" s="90" t="s">
        <v>179</v>
      </c>
      <c r="H46" s="90">
        <v>0.9</v>
      </c>
      <c r="I46" s="90" t="s">
        <v>42</v>
      </c>
      <c r="J46" s="90" t="s">
        <v>44</v>
      </c>
      <c r="K46" s="90" t="s">
        <v>42</v>
      </c>
      <c r="L46" s="90" t="s">
        <v>44</v>
      </c>
      <c r="M46" s="90" t="s">
        <v>43</v>
      </c>
      <c r="N46" s="90" t="s">
        <v>119</v>
      </c>
      <c r="O46" s="92" t="s">
        <v>176</v>
      </c>
      <c r="P46" s="369"/>
      <c r="Q46" s="343"/>
      <c r="R46" s="356"/>
    </row>
    <row r="47" spans="1:18" s="93" customFormat="1" ht="12.75">
      <c r="A47" s="59" t="s">
        <v>189</v>
      </c>
      <c r="B47" s="60"/>
      <c r="C47" s="61">
        <v>650</v>
      </c>
      <c r="D47" s="62">
        <v>11.5</v>
      </c>
      <c r="E47" s="61">
        <v>270</v>
      </c>
      <c r="F47" s="61">
        <v>300</v>
      </c>
      <c r="G47" s="61" t="s">
        <v>179</v>
      </c>
      <c r="H47" s="61">
        <v>0.65</v>
      </c>
      <c r="I47" s="61" t="s">
        <v>42</v>
      </c>
      <c r="J47" s="61" t="s">
        <v>44</v>
      </c>
      <c r="K47" s="61" t="s">
        <v>42</v>
      </c>
      <c r="L47" s="61" t="s">
        <v>44</v>
      </c>
      <c r="M47" s="61" t="s">
        <v>43</v>
      </c>
      <c r="N47" s="61" t="s">
        <v>119</v>
      </c>
      <c r="O47" s="94" t="s">
        <v>185</v>
      </c>
      <c r="P47" s="370"/>
      <c r="Q47" s="344"/>
      <c r="R47" s="359"/>
    </row>
    <row r="48" spans="1:18" s="9" customFormat="1" ht="15">
      <c r="A48" s="374" t="s">
        <v>190</v>
      </c>
      <c r="B48" s="374"/>
      <c r="C48" s="374"/>
      <c r="D48" s="374"/>
      <c r="E48" s="96"/>
      <c r="F48" s="96"/>
      <c r="G48" s="96"/>
      <c r="H48" s="96"/>
      <c r="I48" s="97"/>
      <c r="J48" s="97"/>
      <c r="K48" s="97"/>
      <c r="L48" s="97"/>
      <c r="M48" s="97"/>
      <c r="N48" s="98"/>
      <c r="O48" s="99"/>
      <c r="P48" s="96"/>
      <c r="Q48" s="100"/>
      <c r="R48" s="96"/>
    </row>
    <row r="49" spans="1:18" s="18" customFormat="1" ht="12.75">
      <c r="A49" s="10" t="s">
        <v>191</v>
      </c>
      <c r="B49" s="11" t="s">
        <v>192</v>
      </c>
      <c r="C49" s="12">
        <v>650</v>
      </c>
      <c r="D49" s="101">
        <v>2</v>
      </c>
      <c r="E49" s="12">
        <v>55</v>
      </c>
      <c r="F49" s="12">
        <v>65</v>
      </c>
      <c r="G49" s="12">
        <v>70</v>
      </c>
      <c r="H49" s="12">
        <v>1.6</v>
      </c>
      <c r="I49" s="12" t="s">
        <v>42</v>
      </c>
      <c r="J49" s="12" t="s">
        <v>42</v>
      </c>
      <c r="K49" s="12" t="s">
        <v>42</v>
      </c>
      <c r="L49" s="12" t="s">
        <v>44</v>
      </c>
      <c r="M49" s="12" t="s">
        <v>45</v>
      </c>
      <c r="N49" s="12" t="s">
        <v>182</v>
      </c>
      <c r="O49" s="366" t="s">
        <v>47</v>
      </c>
      <c r="P49" s="346" t="s">
        <v>193</v>
      </c>
      <c r="Q49" s="342" t="s">
        <v>194</v>
      </c>
      <c r="R49" s="360" t="s">
        <v>195</v>
      </c>
    </row>
    <row r="50" spans="1:18" s="109" customFormat="1" ht="12.75">
      <c r="A50" s="104" t="s">
        <v>196</v>
      </c>
      <c r="B50" s="105"/>
      <c r="C50" s="106">
        <v>650</v>
      </c>
      <c r="D50" s="107">
        <v>3.2</v>
      </c>
      <c r="E50" s="106">
        <v>80</v>
      </c>
      <c r="F50" s="106">
        <v>95</v>
      </c>
      <c r="G50" s="106">
        <v>70</v>
      </c>
      <c r="H50" s="106">
        <v>0.9</v>
      </c>
      <c r="I50" s="61" t="s">
        <v>42</v>
      </c>
      <c r="J50" s="61" t="s">
        <v>42</v>
      </c>
      <c r="K50" s="61" t="s">
        <v>42</v>
      </c>
      <c r="L50" s="61" t="s">
        <v>44</v>
      </c>
      <c r="M50" s="61" t="s">
        <v>45</v>
      </c>
      <c r="N50" s="106" t="s">
        <v>182</v>
      </c>
      <c r="O50" s="367"/>
      <c r="P50" s="347"/>
      <c r="Q50" s="344"/>
      <c r="R50" s="361"/>
    </row>
    <row r="51" spans="1:18" s="18" customFormat="1" ht="12.75">
      <c r="A51" s="24" t="s">
        <v>197</v>
      </c>
      <c r="B51" s="25" t="s">
        <v>112</v>
      </c>
      <c r="C51" s="26">
        <v>650</v>
      </c>
      <c r="D51" s="27">
        <v>4</v>
      </c>
      <c r="E51" s="26">
        <v>80</v>
      </c>
      <c r="F51" s="26">
        <v>100</v>
      </c>
      <c r="G51" s="26" t="s">
        <v>170</v>
      </c>
      <c r="H51" s="26">
        <v>1.6</v>
      </c>
      <c r="I51" s="26" t="s">
        <v>42</v>
      </c>
      <c r="J51" s="26" t="s">
        <v>42</v>
      </c>
      <c r="K51" s="26" t="s">
        <v>42</v>
      </c>
      <c r="L51" s="26" t="s">
        <v>42</v>
      </c>
      <c r="M51" s="26" t="s">
        <v>45</v>
      </c>
      <c r="N51" s="26" t="s">
        <v>155</v>
      </c>
      <c r="O51" s="34" t="s">
        <v>114</v>
      </c>
      <c r="P51" s="355" t="s">
        <v>50</v>
      </c>
      <c r="Q51" s="343" t="s">
        <v>198</v>
      </c>
      <c r="R51" s="356" t="s">
        <v>195</v>
      </c>
    </row>
    <row r="52" spans="1:18" s="18" customFormat="1" ht="12.75">
      <c r="A52" s="24" t="s">
        <v>56</v>
      </c>
      <c r="B52" s="25" t="s">
        <v>172</v>
      </c>
      <c r="C52" s="26">
        <v>650</v>
      </c>
      <c r="D52" s="27">
        <v>6</v>
      </c>
      <c r="E52" s="26">
        <v>120</v>
      </c>
      <c r="F52" s="26">
        <v>145</v>
      </c>
      <c r="G52" s="26" t="s">
        <v>53</v>
      </c>
      <c r="H52" s="26">
        <v>1.2</v>
      </c>
      <c r="I52" s="26" t="s">
        <v>42</v>
      </c>
      <c r="J52" s="26" t="s">
        <v>44</v>
      </c>
      <c r="K52" s="26" t="s">
        <v>42</v>
      </c>
      <c r="L52" s="26" t="s">
        <v>44</v>
      </c>
      <c r="M52" s="26" t="s">
        <v>45</v>
      </c>
      <c r="N52" s="26" t="s">
        <v>55</v>
      </c>
      <c r="O52" s="34" t="s">
        <v>54</v>
      </c>
      <c r="P52" s="355"/>
      <c r="Q52" s="343"/>
      <c r="R52" s="356"/>
    </row>
    <row r="53" spans="1:18" s="82" customFormat="1" ht="12.75">
      <c r="A53" s="76" t="s">
        <v>199</v>
      </c>
      <c r="B53" s="110"/>
      <c r="C53" s="77">
        <v>650</v>
      </c>
      <c r="D53" s="79">
        <v>6</v>
      </c>
      <c r="E53" s="77">
        <v>120</v>
      </c>
      <c r="F53" s="77">
        <v>145</v>
      </c>
      <c r="G53" s="77" t="s">
        <v>170</v>
      </c>
      <c r="H53" s="77">
        <v>1.2</v>
      </c>
      <c r="I53" s="69" t="s">
        <v>42</v>
      </c>
      <c r="J53" s="69" t="s">
        <v>44</v>
      </c>
      <c r="K53" s="69" t="s">
        <v>42</v>
      </c>
      <c r="L53" s="69" t="s">
        <v>44</v>
      </c>
      <c r="M53" s="69" t="s">
        <v>45</v>
      </c>
      <c r="N53" s="77" t="s">
        <v>100</v>
      </c>
      <c r="O53" s="80" t="s">
        <v>54</v>
      </c>
      <c r="P53" s="355"/>
      <c r="Q53" s="343"/>
      <c r="R53" s="356"/>
    </row>
    <row r="54" spans="1:18" s="82" customFormat="1" ht="12.75">
      <c r="A54" s="76" t="s">
        <v>172</v>
      </c>
      <c r="B54" s="110"/>
      <c r="C54" s="77">
        <v>650</v>
      </c>
      <c r="D54" s="79">
        <v>6</v>
      </c>
      <c r="E54" s="77">
        <v>120</v>
      </c>
      <c r="F54" s="77">
        <v>145</v>
      </c>
      <c r="G54" s="77" t="s">
        <v>170</v>
      </c>
      <c r="H54" s="77">
        <v>1.2</v>
      </c>
      <c r="I54" s="77" t="s">
        <v>42</v>
      </c>
      <c r="J54" s="77" t="s">
        <v>42</v>
      </c>
      <c r="K54" s="77" t="s">
        <v>42</v>
      </c>
      <c r="L54" s="77" t="s">
        <v>42</v>
      </c>
      <c r="M54" s="77" t="s">
        <v>45</v>
      </c>
      <c r="N54" s="77" t="s">
        <v>155</v>
      </c>
      <c r="O54" s="80" t="s">
        <v>54</v>
      </c>
      <c r="P54" s="355"/>
      <c r="Q54" s="343"/>
      <c r="R54" s="356"/>
    </row>
    <row r="55" spans="1:18" s="82" customFormat="1" ht="12.75">
      <c r="A55" s="76" t="s">
        <v>175</v>
      </c>
      <c r="B55" s="110"/>
      <c r="C55" s="77">
        <v>650</v>
      </c>
      <c r="D55" s="79">
        <v>8</v>
      </c>
      <c r="E55" s="77">
        <v>160</v>
      </c>
      <c r="F55" s="77">
        <v>190</v>
      </c>
      <c r="G55" s="77" t="s">
        <v>170</v>
      </c>
      <c r="H55" s="77">
        <v>0.9</v>
      </c>
      <c r="I55" s="69" t="s">
        <v>42</v>
      </c>
      <c r="J55" s="69" t="s">
        <v>42</v>
      </c>
      <c r="K55" s="69" t="s">
        <v>42</v>
      </c>
      <c r="L55" s="69" t="s">
        <v>42</v>
      </c>
      <c r="M55" s="69" t="s">
        <v>45</v>
      </c>
      <c r="N55" s="77" t="s">
        <v>100</v>
      </c>
      <c r="O55" s="80" t="s">
        <v>176</v>
      </c>
      <c r="P55" s="355"/>
      <c r="Q55" s="343"/>
      <c r="R55" s="356"/>
    </row>
    <row r="56" spans="1:18" s="82" customFormat="1" ht="12.75">
      <c r="A56" s="76" t="s">
        <v>200</v>
      </c>
      <c r="B56" s="110"/>
      <c r="C56" s="77">
        <v>650</v>
      </c>
      <c r="D56" s="79">
        <v>9.7</v>
      </c>
      <c r="E56" s="77">
        <v>200</v>
      </c>
      <c r="F56" s="77">
        <v>240</v>
      </c>
      <c r="G56" s="77" t="s">
        <v>170</v>
      </c>
      <c r="H56" s="77">
        <v>0.65</v>
      </c>
      <c r="I56" s="69" t="s">
        <v>42</v>
      </c>
      <c r="J56" s="69" t="s">
        <v>42</v>
      </c>
      <c r="K56" s="69" t="s">
        <v>42</v>
      </c>
      <c r="L56" s="69" t="s">
        <v>42</v>
      </c>
      <c r="M56" s="69" t="s">
        <v>45</v>
      </c>
      <c r="N56" s="77" t="s">
        <v>46</v>
      </c>
      <c r="O56" s="80" t="s">
        <v>185</v>
      </c>
      <c r="P56" s="355"/>
      <c r="Q56" s="343"/>
      <c r="R56" s="356"/>
    </row>
    <row r="57" spans="1:18" s="82" customFormat="1" ht="12.75">
      <c r="A57" s="83" t="s">
        <v>98</v>
      </c>
      <c r="B57" s="84"/>
      <c r="C57" s="85">
        <v>800</v>
      </c>
      <c r="D57" s="86">
        <v>4</v>
      </c>
      <c r="E57" s="85">
        <v>80</v>
      </c>
      <c r="F57" s="85">
        <v>100</v>
      </c>
      <c r="G57" s="85">
        <v>66</v>
      </c>
      <c r="H57" s="86">
        <v>2</v>
      </c>
      <c r="I57" s="85" t="s">
        <v>44</v>
      </c>
      <c r="J57" s="85" t="s">
        <v>44</v>
      </c>
      <c r="K57" s="85" t="s">
        <v>44</v>
      </c>
      <c r="L57" s="85" t="s">
        <v>44</v>
      </c>
      <c r="M57" s="85" t="s">
        <v>45</v>
      </c>
      <c r="N57" s="85" t="s">
        <v>46</v>
      </c>
      <c r="O57" s="102" t="s">
        <v>47</v>
      </c>
      <c r="P57" s="346" t="s">
        <v>201</v>
      </c>
      <c r="Q57" s="409" t="s">
        <v>202</v>
      </c>
      <c r="R57" s="360"/>
    </row>
    <row r="58" spans="1:18" s="93" customFormat="1" ht="13.5" customHeight="1">
      <c r="A58" s="104" t="s">
        <v>107</v>
      </c>
      <c r="B58" s="105"/>
      <c r="C58" s="106">
        <v>800</v>
      </c>
      <c r="D58" s="112">
        <v>5</v>
      </c>
      <c r="E58" s="106">
        <v>110</v>
      </c>
      <c r="F58" s="106">
        <v>130</v>
      </c>
      <c r="G58" s="106">
        <v>66</v>
      </c>
      <c r="H58" s="106">
        <v>1.5</v>
      </c>
      <c r="I58" s="106" t="s">
        <v>44</v>
      </c>
      <c r="J58" s="106" t="s">
        <v>44</v>
      </c>
      <c r="K58" s="106" t="s">
        <v>44</v>
      </c>
      <c r="L58" s="106" t="s">
        <v>44</v>
      </c>
      <c r="M58" s="106" t="s">
        <v>203</v>
      </c>
      <c r="N58" s="106" t="s">
        <v>100</v>
      </c>
      <c r="O58" s="108" t="s">
        <v>101</v>
      </c>
      <c r="P58" s="347"/>
      <c r="Q58" s="410"/>
      <c r="R58" s="361"/>
    </row>
    <row r="59" spans="1:18" s="82" customFormat="1" ht="13.5" customHeight="1">
      <c r="A59" s="76" t="s">
        <v>112</v>
      </c>
      <c r="B59" s="110"/>
      <c r="C59" s="77">
        <v>650</v>
      </c>
      <c r="D59" s="79">
        <v>4</v>
      </c>
      <c r="E59" s="77">
        <v>80</v>
      </c>
      <c r="F59" s="77">
        <v>100</v>
      </c>
      <c r="G59" s="77" t="s">
        <v>53</v>
      </c>
      <c r="H59" s="77">
        <v>1.6</v>
      </c>
      <c r="I59" s="77" t="s">
        <v>42</v>
      </c>
      <c r="J59" s="77" t="s">
        <v>42</v>
      </c>
      <c r="K59" s="77" t="s">
        <v>43</v>
      </c>
      <c r="L59" s="77" t="s">
        <v>42</v>
      </c>
      <c r="M59" s="77" t="s">
        <v>45</v>
      </c>
      <c r="N59" s="77" t="s">
        <v>52</v>
      </c>
      <c r="O59" s="80" t="s">
        <v>57</v>
      </c>
      <c r="P59" s="106"/>
      <c r="Q59" s="114"/>
      <c r="R59" s="115" t="s">
        <v>204</v>
      </c>
    </row>
    <row r="60" spans="1:18" s="82" customFormat="1" ht="13.5" customHeight="1">
      <c r="A60" s="83" t="s">
        <v>205</v>
      </c>
      <c r="B60" s="84"/>
      <c r="C60" s="85">
        <v>200</v>
      </c>
      <c r="D60" s="86">
        <v>3.2</v>
      </c>
      <c r="E60" s="116">
        <v>40</v>
      </c>
      <c r="F60" s="117" t="s">
        <v>206</v>
      </c>
      <c r="G60" s="85">
        <v>300</v>
      </c>
      <c r="H60" s="85">
        <v>0.3</v>
      </c>
      <c r="I60" s="52" t="s">
        <v>152</v>
      </c>
      <c r="J60" s="52" t="s">
        <v>181</v>
      </c>
      <c r="K60" s="52" t="s">
        <v>152</v>
      </c>
      <c r="L60" s="52" t="s">
        <v>152</v>
      </c>
      <c r="M60" s="85" t="s">
        <v>181</v>
      </c>
      <c r="N60" s="85" t="s">
        <v>182</v>
      </c>
      <c r="O60" s="102" t="s">
        <v>207</v>
      </c>
      <c r="P60" s="346" t="s">
        <v>208</v>
      </c>
      <c r="Q60" s="111"/>
      <c r="R60" s="103"/>
    </row>
    <row r="61" spans="1:18" s="93" customFormat="1" ht="13.5" customHeight="1">
      <c r="A61" s="118" t="s">
        <v>209</v>
      </c>
      <c r="B61" s="119"/>
      <c r="C61" s="120">
        <v>200</v>
      </c>
      <c r="D61" s="121">
        <v>3.2</v>
      </c>
      <c r="E61" s="122">
        <v>40</v>
      </c>
      <c r="F61" s="123" t="s">
        <v>58</v>
      </c>
      <c r="G61" s="120">
        <v>300</v>
      </c>
      <c r="H61" s="120">
        <v>0.3</v>
      </c>
      <c r="I61" s="120" t="s">
        <v>42</v>
      </c>
      <c r="J61" s="120" t="s">
        <v>43</v>
      </c>
      <c r="K61" s="120" t="s">
        <v>42</v>
      </c>
      <c r="L61" s="120" t="s">
        <v>42</v>
      </c>
      <c r="M61" s="120" t="s">
        <v>181</v>
      </c>
      <c r="N61" s="120" t="s">
        <v>210</v>
      </c>
      <c r="O61" s="123" t="s">
        <v>59</v>
      </c>
      <c r="P61" s="347"/>
      <c r="Q61" s="124"/>
      <c r="R61" s="125"/>
    </row>
    <row r="62" spans="1:18" s="9" customFormat="1" ht="15">
      <c r="A62" s="379" t="s">
        <v>211</v>
      </c>
      <c r="B62" s="379"/>
      <c r="C62" s="379"/>
      <c r="D62" s="379"/>
      <c r="E62" s="96"/>
      <c r="F62" s="96"/>
      <c r="G62" s="96"/>
      <c r="H62" s="96"/>
      <c r="I62" s="97"/>
      <c r="J62" s="97"/>
      <c r="K62" s="97"/>
      <c r="L62" s="97"/>
      <c r="M62" s="97"/>
      <c r="N62" s="98"/>
      <c r="O62" s="99"/>
      <c r="P62" s="96"/>
      <c r="Q62" s="100"/>
      <c r="R62" s="37"/>
    </row>
    <row r="63" spans="1:19" s="18" customFormat="1" ht="13.5">
      <c r="A63" s="10" t="s">
        <v>212</v>
      </c>
      <c r="B63" s="11" t="s">
        <v>213</v>
      </c>
      <c r="C63" s="12">
        <v>650</v>
      </c>
      <c r="D63" s="12">
        <v>0.6</v>
      </c>
      <c r="E63" s="12" t="s">
        <v>214</v>
      </c>
      <c r="F63" s="12" t="s">
        <v>214</v>
      </c>
      <c r="G63" s="12">
        <v>100</v>
      </c>
      <c r="H63" s="12">
        <v>18</v>
      </c>
      <c r="I63" s="12" t="s">
        <v>42</v>
      </c>
      <c r="J63" s="12" t="s">
        <v>43</v>
      </c>
      <c r="K63" s="12" t="s">
        <v>43</v>
      </c>
      <c r="L63" s="12" t="s">
        <v>42</v>
      </c>
      <c r="M63" s="12" t="s">
        <v>43</v>
      </c>
      <c r="N63" s="12" t="s">
        <v>215</v>
      </c>
      <c r="O63" s="15" t="s">
        <v>216</v>
      </c>
      <c r="P63" s="346" t="s">
        <v>130</v>
      </c>
      <c r="Q63" s="342" t="s">
        <v>217</v>
      </c>
      <c r="R63" s="360" t="s">
        <v>218</v>
      </c>
      <c r="S63" s="126"/>
    </row>
    <row r="64" spans="1:19" s="18" customFormat="1" ht="13.5">
      <c r="A64" s="24" t="s">
        <v>219</v>
      </c>
      <c r="B64" s="25" t="s">
        <v>213</v>
      </c>
      <c r="C64" s="26">
        <v>650</v>
      </c>
      <c r="D64" s="26">
        <v>0.48</v>
      </c>
      <c r="E64" s="26" t="s">
        <v>214</v>
      </c>
      <c r="F64" s="26" t="s">
        <v>214</v>
      </c>
      <c r="G64" s="26">
        <v>100</v>
      </c>
      <c r="H64" s="26">
        <v>18</v>
      </c>
      <c r="I64" s="26" t="s">
        <v>42</v>
      </c>
      <c r="J64" s="26" t="s">
        <v>43</v>
      </c>
      <c r="K64" s="26" t="s">
        <v>43</v>
      </c>
      <c r="L64" s="26" t="s">
        <v>42</v>
      </c>
      <c r="M64" s="26" t="s">
        <v>43</v>
      </c>
      <c r="N64" s="26" t="s">
        <v>215</v>
      </c>
      <c r="O64" s="34" t="s">
        <v>216</v>
      </c>
      <c r="P64" s="355"/>
      <c r="Q64" s="343"/>
      <c r="R64" s="411"/>
      <c r="S64" s="126"/>
    </row>
    <row r="65" spans="1:18" s="18" customFormat="1" ht="12.75">
      <c r="A65" s="28" t="s">
        <v>220</v>
      </c>
      <c r="B65" s="29" t="s">
        <v>221</v>
      </c>
      <c r="C65" s="30">
        <v>650</v>
      </c>
      <c r="D65" s="30">
        <v>0.3</v>
      </c>
      <c r="E65" s="30" t="s">
        <v>222</v>
      </c>
      <c r="F65" s="30" t="s">
        <v>222</v>
      </c>
      <c r="G65" s="30">
        <v>100</v>
      </c>
      <c r="H65" s="30">
        <v>38</v>
      </c>
      <c r="I65" s="30" t="s">
        <v>42</v>
      </c>
      <c r="J65" s="30" t="s">
        <v>181</v>
      </c>
      <c r="K65" s="30" t="s">
        <v>181</v>
      </c>
      <c r="L65" s="30" t="s">
        <v>42</v>
      </c>
      <c r="M65" s="30" t="s">
        <v>43</v>
      </c>
      <c r="N65" s="30" t="s">
        <v>215</v>
      </c>
      <c r="O65" s="35" t="s">
        <v>223</v>
      </c>
      <c r="P65" s="347"/>
      <c r="Q65" s="344"/>
      <c r="R65" s="361"/>
    </row>
    <row r="66" spans="1:18" s="82" customFormat="1" ht="12.75">
      <c r="A66" s="83" t="s">
        <v>224</v>
      </c>
      <c r="B66" s="84"/>
      <c r="C66" s="85">
        <v>700</v>
      </c>
      <c r="D66" s="85">
        <v>0.3</v>
      </c>
      <c r="E66" s="85" t="s">
        <v>61</v>
      </c>
      <c r="F66" s="85" t="s">
        <v>225</v>
      </c>
      <c r="G66" s="85">
        <v>134</v>
      </c>
      <c r="H66" s="85">
        <v>32</v>
      </c>
      <c r="I66" s="85" t="s">
        <v>42</v>
      </c>
      <c r="J66" s="85" t="s">
        <v>43</v>
      </c>
      <c r="K66" s="85" t="s">
        <v>43</v>
      </c>
      <c r="L66" s="85" t="s">
        <v>42</v>
      </c>
      <c r="M66" s="85" t="s">
        <v>45</v>
      </c>
      <c r="N66" s="85" t="s">
        <v>226</v>
      </c>
      <c r="O66" s="102" t="s">
        <v>62</v>
      </c>
      <c r="P66" s="346" t="s">
        <v>130</v>
      </c>
      <c r="Q66" s="111"/>
      <c r="R66" s="360" t="s">
        <v>218</v>
      </c>
    </row>
    <row r="67" spans="1:18" s="82" customFormat="1" ht="13.5" customHeight="1">
      <c r="A67" s="104" t="s">
        <v>227</v>
      </c>
      <c r="B67" s="105"/>
      <c r="C67" s="106">
        <v>700</v>
      </c>
      <c r="D67" s="106">
        <v>0.3</v>
      </c>
      <c r="E67" s="106" t="s">
        <v>61</v>
      </c>
      <c r="F67" s="106" t="s">
        <v>225</v>
      </c>
      <c r="G67" s="106">
        <v>134</v>
      </c>
      <c r="H67" s="106">
        <v>32</v>
      </c>
      <c r="I67" s="106" t="s">
        <v>152</v>
      </c>
      <c r="J67" s="106" t="s">
        <v>43</v>
      </c>
      <c r="K67" s="106" t="s">
        <v>43</v>
      </c>
      <c r="L67" s="106" t="s">
        <v>152</v>
      </c>
      <c r="M67" s="106" t="s">
        <v>203</v>
      </c>
      <c r="N67" s="106" t="s">
        <v>226</v>
      </c>
      <c r="O67" s="108" t="s">
        <v>62</v>
      </c>
      <c r="P67" s="347"/>
      <c r="Q67" s="113"/>
      <c r="R67" s="361"/>
    </row>
    <row r="68" spans="1:18" s="82" customFormat="1" ht="13.5" customHeight="1">
      <c r="A68" s="76" t="s">
        <v>213</v>
      </c>
      <c r="B68" s="110"/>
      <c r="C68" s="77">
        <v>650</v>
      </c>
      <c r="D68" s="77">
        <v>0.48</v>
      </c>
      <c r="E68" s="77" t="s">
        <v>60</v>
      </c>
      <c r="F68" s="77" t="s">
        <v>60</v>
      </c>
      <c r="G68" s="77">
        <v>70</v>
      </c>
      <c r="H68" s="77">
        <v>19</v>
      </c>
      <c r="I68" s="77" t="s">
        <v>152</v>
      </c>
      <c r="J68" s="77" t="s">
        <v>181</v>
      </c>
      <c r="K68" s="77" t="s">
        <v>152</v>
      </c>
      <c r="L68" s="77" t="s">
        <v>152</v>
      </c>
      <c r="M68" s="77" t="s">
        <v>203</v>
      </c>
      <c r="N68" s="77" t="s">
        <v>128</v>
      </c>
      <c r="O68" s="80" t="s">
        <v>228</v>
      </c>
      <c r="P68" s="349" t="s">
        <v>229</v>
      </c>
      <c r="Q68" s="114"/>
      <c r="R68" s="406" t="s">
        <v>230</v>
      </c>
    </row>
    <row r="69" spans="1:18" s="93" customFormat="1" ht="13.5" customHeight="1">
      <c r="A69" s="118" t="s">
        <v>231</v>
      </c>
      <c r="B69" s="119"/>
      <c r="C69" s="120">
        <v>650</v>
      </c>
      <c r="D69" s="120">
        <v>1.2</v>
      </c>
      <c r="E69" s="120">
        <v>15</v>
      </c>
      <c r="F69" s="120">
        <v>17</v>
      </c>
      <c r="G69" s="120">
        <v>50</v>
      </c>
      <c r="H69" s="120">
        <v>10</v>
      </c>
      <c r="I69" s="120" t="s">
        <v>42</v>
      </c>
      <c r="J69" s="120" t="s">
        <v>152</v>
      </c>
      <c r="K69" s="120" t="s">
        <v>42</v>
      </c>
      <c r="L69" s="120" t="s">
        <v>42</v>
      </c>
      <c r="M69" s="120" t="s">
        <v>45</v>
      </c>
      <c r="N69" s="120" t="s">
        <v>128</v>
      </c>
      <c r="O69" s="123"/>
      <c r="P69" s="354"/>
      <c r="Q69" s="124"/>
      <c r="R69" s="407"/>
    </row>
    <row r="70" spans="1:18" s="93" customFormat="1" ht="12.75">
      <c r="A70" s="128" t="s">
        <v>232</v>
      </c>
      <c r="B70" s="129"/>
      <c r="C70" s="130">
        <v>700</v>
      </c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 t="s">
        <v>233</v>
      </c>
      <c r="O70" s="131"/>
      <c r="P70" s="130" t="s">
        <v>234</v>
      </c>
      <c r="Q70" s="132"/>
      <c r="R70" s="133" t="s">
        <v>218</v>
      </c>
    </row>
    <row r="71" spans="1:18" s="93" customFormat="1" ht="12.75">
      <c r="A71" s="89" t="s">
        <v>235</v>
      </c>
      <c r="B71" s="68"/>
      <c r="C71" s="90">
        <v>650</v>
      </c>
      <c r="D71" s="91">
        <v>1.2</v>
      </c>
      <c r="E71" s="90">
        <v>15</v>
      </c>
      <c r="F71" s="90">
        <v>17</v>
      </c>
      <c r="G71" s="90">
        <v>50</v>
      </c>
      <c r="H71" s="91">
        <v>10</v>
      </c>
      <c r="I71" s="90" t="s">
        <v>152</v>
      </c>
      <c r="J71" s="90" t="s">
        <v>42</v>
      </c>
      <c r="K71" s="90" t="s">
        <v>152</v>
      </c>
      <c r="L71" s="90" t="s">
        <v>152</v>
      </c>
      <c r="M71" s="90" t="s">
        <v>203</v>
      </c>
      <c r="N71" s="90" t="s">
        <v>236</v>
      </c>
      <c r="O71" s="134"/>
      <c r="P71" s="348" t="s">
        <v>237</v>
      </c>
      <c r="Q71" s="135"/>
      <c r="R71" s="127"/>
    </row>
    <row r="72" spans="1:18" s="93" customFormat="1" ht="13.5" customHeight="1">
      <c r="A72" s="89" t="s">
        <v>164</v>
      </c>
      <c r="B72" s="68"/>
      <c r="C72" s="90">
        <v>650</v>
      </c>
      <c r="D72" s="90">
        <v>1.5</v>
      </c>
      <c r="E72" s="90">
        <v>20</v>
      </c>
      <c r="F72" s="90">
        <v>23</v>
      </c>
      <c r="G72" s="90" t="s">
        <v>99</v>
      </c>
      <c r="H72" s="91">
        <v>6</v>
      </c>
      <c r="I72" s="90" t="s">
        <v>152</v>
      </c>
      <c r="J72" s="90" t="s">
        <v>42</v>
      </c>
      <c r="K72" s="90" t="s">
        <v>152</v>
      </c>
      <c r="L72" s="90" t="s">
        <v>152</v>
      </c>
      <c r="M72" s="90" t="s">
        <v>203</v>
      </c>
      <c r="N72" s="90" t="s">
        <v>128</v>
      </c>
      <c r="O72" s="134"/>
      <c r="P72" s="349"/>
      <c r="Q72" s="135"/>
      <c r="R72" s="127"/>
    </row>
    <row r="73" spans="1:18" s="93" customFormat="1" ht="13.5" customHeight="1">
      <c r="A73" s="118" t="s">
        <v>167</v>
      </c>
      <c r="B73" s="119"/>
      <c r="C73" s="120">
        <v>650</v>
      </c>
      <c r="D73" s="120">
        <v>2.15</v>
      </c>
      <c r="E73" s="120">
        <v>25</v>
      </c>
      <c r="F73" s="120">
        <v>30</v>
      </c>
      <c r="G73" s="120" t="s">
        <v>94</v>
      </c>
      <c r="H73" s="120">
        <v>4.5</v>
      </c>
      <c r="I73" s="120" t="s">
        <v>152</v>
      </c>
      <c r="J73" s="120" t="s">
        <v>152</v>
      </c>
      <c r="K73" s="120" t="s">
        <v>152</v>
      </c>
      <c r="L73" s="120" t="s">
        <v>152</v>
      </c>
      <c r="M73" s="120" t="s">
        <v>203</v>
      </c>
      <c r="N73" s="120" t="s">
        <v>128</v>
      </c>
      <c r="O73" s="123"/>
      <c r="P73" s="354"/>
      <c r="Q73" s="124"/>
      <c r="R73" s="125"/>
    </row>
    <row r="74" spans="1:18" s="93" customFormat="1" ht="12.75">
      <c r="A74" s="136" t="s">
        <v>142</v>
      </c>
      <c r="B74" s="70"/>
      <c r="C74" s="95">
        <v>650</v>
      </c>
      <c r="D74" s="137">
        <v>2.3</v>
      </c>
      <c r="E74" s="95">
        <v>60</v>
      </c>
      <c r="F74" s="95">
        <v>70</v>
      </c>
      <c r="G74" s="95">
        <v>66</v>
      </c>
      <c r="H74" s="95">
        <v>2.2</v>
      </c>
      <c r="I74" s="95" t="s">
        <v>42</v>
      </c>
      <c r="J74" s="95" t="s">
        <v>42</v>
      </c>
      <c r="K74" s="95" t="s">
        <v>42</v>
      </c>
      <c r="L74" s="95" t="s">
        <v>44</v>
      </c>
      <c r="M74" s="95" t="s">
        <v>45</v>
      </c>
      <c r="N74" s="95" t="s">
        <v>238</v>
      </c>
      <c r="O74" s="138"/>
      <c r="P74" s="348" t="s">
        <v>193</v>
      </c>
      <c r="Q74" s="139"/>
      <c r="R74" s="408"/>
    </row>
    <row r="75" spans="1:18" s="82" customFormat="1" ht="13.5" customHeight="1">
      <c r="A75" s="76" t="s">
        <v>192</v>
      </c>
      <c r="B75" s="110"/>
      <c r="C75" s="77">
        <v>650</v>
      </c>
      <c r="D75" s="79">
        <v>2.5</v>
      </c>
      <c r="E75" s="77">
        <v>75</v>
      </c>
      <c r="F75" s="77">
        <v>85</v>
      </c>
      <c r="G75" s="77">
        <v>66</v>
      </c>
      <c r="H75" s="77">
        <v>1.6</v>
      </c>
      <c r="I75" s="77" t="s">
        <v>152</v>
      </c>
      <c r="J75" s="77" t="s">
        <v>152</v>
      </c>
      <c r="K75" s="77" t="s">
        <v>152</v>
      </c>
      <c r="L75" s="77" t="s">
        <v>180</v>
      </c>
      <c r="M75" s="77" t="s">
        <v>203</v>
      </c>
      <c r="N75" s="77" t="s">
        <v>238</v>
      </c>
      <c r="O75" s="80"/>
      <c r="P75" s="349"/>
      <c r="Q75" s="114"/>
      <c r="R75" s="406"/>
    </row>
    <row r="76" spans="1:18" s="93" customFormat="1" ht="13.5" customHeight="1">
      <c r="A76" s="136" t="s">
        <v>186</v>
      </c>
      <c r="B76" s="70"/>
      <c r="C76" s="95">
        <v>650</v>
      </c>
      <c r="D76" s="137"/>
      <c r="E76" s="95"/>
      <c r="F76" s="95"/>
      <c r="G76" s="95"/>
      <c r="H76" s="95"/>
      <c r="I76" s="95"/>
      <c r="J76" s="95"/>
      <c r="K76" s="95"/>
      <c r="L76" s="95"/>
      <c r="M76" s="95"/>
      <c r="N76" s="95" t="s">
        <v>182</v>
      </c>
      <c r="O76" s="138"/>
      <c r="P76" s="348" t="s">
        <v>239</v>
      </c>
      <c r="Q76" s="139"/>
      <c r="R76" s="140"/>
    </row>
    <row r="77" spans="1:18" s="93" customFormat="1" ht="13.5" customHeight="1">
      <c r="A77" s="89" t="s">
        <v>240</v>
      </c>
      <c r="B77" s="68"/>
      <c r="C77" s="90">
        <v>650</v>
      </c>
      <c r="D77" s="91"/>
      <c r="E77" s="90"/>
      <c r="F77" s="90"/>
      <c r="G77" s="90"/>
      <c r="H77" s="90"/>
      <c r="I77" s="90"/>
      <c r="J77" s="90"/>
      <c r="K77" s="90"/>
      <c r="L77" s="90"/>
      <c r="M77" s="90"/>
      <c r="N77" s="90" t="s">
        <v>182</v>
      </c>
      <c r="O77" s="134"/>
      <c r="P77" s="349"/>
      <c r="Q77" s="135"/>
      <c r="R77" s="127"/>
    </row>
    <row r="78" spans="1:18" s="93" customFormat="1" ht="13.5" customHeight="1">
      <c r="A78" s="89" t="s">
        <v>241</v>
      </c>
      <c r="B78" s="68"/>
      <c r="C78" s="90">
        <v>650</v>
      </c>
      <c r="D78" s="91"/>
      <c r="E78" s="90"/>
      <c r="F78" s="90"/>
      <c r="G78" s="90"/>
      <c r="H78" s="90"/>
      <c r="I78" s="90"/>
      <c r="J78" s="90"/>
      <c r="K78" s="90"/>
      <c r="L78" s="90"/>
      <c r="M78" s="90"/>
      <c r="N78" s="90" t="s">
        <v>242</v>
      </c>
      <c r="O78" s="134"/>
      <c r="P78" s="349"/>
      <c r="Q78" s="135"/>
      <c r="R78" s="127"/>
    </row>
    <row r="79" spans="1:18" s="93" customFormat="1" ht="13.5" customHeight="1">
      <c r="A79" s="118" t="s">
        <v>243</v>
      </c>
      <c r="B79" s="119"/>
      <c r="C79" s="120">
        <v>650</v>
      </c>
      <c r="D79" s="121"/>
      <c r="E79" s="120"/>
      <c r="F79" s="120"/>
      <c r="G79" s="120"/>
      <c r="H79" s="120"/>
      <c r="I79" s="120"/>
      <c r="J79" s="120"/>
      <c r="K79" s="120"/>
      <c r="L79" s="120"/>
      <c r="M79" s="120"/>
      <c r="N79" s="120" t="s">
        <v>242</v>
      </c>
      <c r="O79" s="123"/>
      <c r="P79" s="354"/>
      <c r="Q79" s="124"/>
      <c r="R79" s="125"/>
    </row>
    <row r="80" spans="1:16" s="109" customFormat="1" ht="12.75">
      <c r="A80" s="141"/>
      <c r="B80" s="142"/>
      <c r="C80" s="143"/>
      <c r="D80" s="144"/>
      <c r="E80" s="143"/>
      <c r="F80" s="143"/>
      <c r="G80" s="143"/>
      <c r="H80" s="143"/>
      <c r="I80" s="145" t="s">
        <v>244</v>
      </c>
      <c r="J80" s="143"/>
      <c r="K80" s="143"/>
      <c r="L80" s="143"/>
      <c r="M80" s="143"/>
      <c r="N80" s="143"/>
      <c r="O80" s="146"/>
      <c r="P80" s="146"/>
    </row>
    <row r="81" spans="1:16" s="3" customFormat="1" ht="12.75">
      <c r="A81" s="147" t="s">
        <v>63</v>
      </c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6"/>
      <c r="O81" s="146"/>
      <c r="P81" s="149"/>
    </row>
    <row r="82" spans="1:15" s="82" customFormat="1" ht="12.75">
      <c r="A82" s="150" t="s">
        <v>245</v>
      </c>
      <c r="B82" s="151"/>
      <c r="C82" s="152"/>
      <c r="D82" s="152"/>
      <c r="E82" s="152"/>
      <c r="F82" s="152"/>
      <c r="G82" s="152"/>
      <c r="H82" s="152"/>
      <c r="N82" s="153"/>
      <c r="O82" s="153"/>
    </row>
    <row r="83" spans="1:15" s="82" customFormat="1" ht="12.75">
      <c r="A83" s="154" t="s">
        <v>246</v>
      </c>
      <c r="B83" s="155" t="s">
        <v>247</v>
      </c>
      <c r="C83" s="156"/>
      <c r="D83" s="156"/>
      <c r="E83" s="156"/>
      <c r="F83" s="156"/>
      <c r="G83" s="156"/>
      <c r="H83" s="156"/>
      <c r="N83" s="153"/>
      <c r="O83" s="153"/>
    </row>
    <row r="84" spans="1:15" s="82" customFormat="1" ht="12.75">
      <c r="A84" s="157" t="s">
        <v>248</v>
      </c>
      <c r="B84" s="158" t="s">
        <v>249</v>
      </c>
      <c r="C84" s="159"/>
      <c r="D84" s="159"/>
      <c r="E84" s="159"/>
      <c r="F84" s="159"/>
      <c r="G84" s="159"/>
      <c r="H84" s="159"/>
      <c r="N84" s="153"/>
      <c r="O84" s="153"/>
    </row>
    <row r="85" spans="1:15" s="9" customFormat="1" ht="14.25">
      <c r="A85" s="160" t="s">
        <v>250</v>
      </c>
      <c r="B85" s="161"/>
      <c r="N85" s="162"/>
      <c r="O85" s="162"/>
    </row>
    <row r="86" spans="1:15" s="9" customFormat="1" ht="14.25">
      <c r="A86" s="163" t="s">
        <v>251</v>
      </c>
      <c r="B86" s="164"/>
      <c r="N86" s="162"/>
      <c r="O86" s="162"/>
    </row>
    <row r="87" spans="1:15" s="9" customFormat="1" ht="14.25">
      <c r="A87" s="165"/>
      <c r="B87" s="164"/>
      <c r="N87" s="162"/>
      <c r="O87" s="162"/>
    </row>
    <row r="88" spans="1:15" s="9" customFormat="1" ht="14.25">
      <c r="A88" s="165"/>
      <c r="B88" s="164"/>
      <c r="N88" s="162"/>
      <c r="O88" s="162"/>
    </row>
    <row r="89" spans="1:15" s="9" customFormat="1" ht="14.25">
      <c r="A89" s="165"/>
      <c r="B89" s="164"/>
      <c r="N89" s="162"/>
      <c r="O89" s="162"/>
    </row>
    <row r="90" spans="1:15" s="9" customFormat="1" ht="14.25">
      <c r="A90" s="165"/>
      <c r="B90" s="164"/>
      <c r="N90" s="162"/>
      <c r="O90" s="162"/>
    </row>
    <row r="91" spans="1:15" s="9" customFormat="1" ht="14.25">
      <c r="A91" s="165"/>
      <c r="B91" s="164"/>
      <c r="N91" s="162"/>
      <c r="O91" s="162"/>
    </row>
    <row r="92" spans="1:15" s="9" customFormat="1" ht="14.25">
      <c r="A92" s="165"/>
      <c r="B92" s="164"/>
      <c r="N92" s="162"/>
      <c r="O92" s="162"/>
    </row>
    <row r="93" spans="1:15" s="9" customFormat="1" ht="14.25">
      <c r="A93" s="165"/>
      <c r="B93" s="164"/>
      <c r="N93" s="162"/>
      <c r="O93" s="162"/>
    </row>
    <row r="94" spans="1:15" s="9" customFormat="1" ht="14.25">
      <c r="A94" s="165"/>
      <c r="B94" s="164"/>
      <c r="N94" s="162"/>
      <c r="O94" s="162"/>
    </row>
    <row r="95" spans="1:15" s="9" customFormat="1" ht="14.25">
      <c r="A95" s="165"/>
      <c r="B95" s="164"/>
      <c r="N95" s="162"/>
      <c r="O95" s="162"/>
    </row>
    <row r="96" spans="1:15" s="9" customFormat="1" ht="14.25">
      <c r="A96" s="165"/>
      <c r="B96" s="164"/>
      <c r="N96" s="162"/>
      <c r="O96" s="162"/>
    </row>
  </sheetData>
  <sheetProtection/>
  <mergeCells count="80">
    <mergeCell ref="R68:R69"/>
    <mergeCell ref="P68:P69"/>
    <mergeCell ref="P66:P67"/>
    <mergeCell ref="R74:R75"/>
    <mergeCell ref="R57:R58"/>
    <mergeCell ref="Q57:Q58"/>
    <mergeCell ref="P57:P58"/>
    <mergeCell ref="R66:R67"/>
    <mergeCell ref="R63:R65"/>
    <mergeCell ref="A62:D62"/>
    <mergeCell ref="P63:P65"/>
    <mergeCell ref="P71:P73"/>
    <mergeCell ref="Q63:Q65"/>
    <mergeCell ref="A1:A3"/>
    <mergeCell ref="C1:H1"/>
    <mergeCell ref="H2:H3"/>
    <mergeCell ref="D2:D3"/>
    <mergeCell ref="G2:G3"/>
    <mergeCell ref="E2:F2"/>
    <mergeCell ref="C2:C3"/>
    <mergeCell ref="B1:B3"/>
    <mergeCell ref="M1:M3"/>
    <mergeCell ref="N1:N3"/>
    <mergeCell ref="I1:L1"/>
    <mergeCell ref="I2:I3"/>
    <mergeCell ref="L2:L3"/>
    <mergeCell ref="J2:J3"/>
    <mergeCell ref="K2:K3"/>
    <mergeCell ref="T1:T3"/>
    <mergeCell ref="P1:P3"/>
    <mergeCell ref="O1:O3"/>
    <mergeCell ref="O13:O14"/>
    <mergeCell ref="S1:S3"/>
    <mergeCell ref="Q1:Q3"/>
    <mergeCell ref="P10:P11"/>
    <mergeCell ref="P13:P14"/>
    <mergeCell ref="R1:R3"/>
    <mergeCell ref="Q5:Q6"/>
    <mergeCell ref="A48:D48"/>
    <mergeCell ref="O30:O32"/>
    <mergeCell ref="A15:D15"/>
    <mergeCell ref="A23:D23"/>
    <mergeCell ref="A27:D27"/>
    <mergeCell ref="O21:O22"/>
    <mergeCell ref="O28:O29"/>
    <mergeCell ref="O49:O50"/>
    <mergeCell ref="P41:P47"/>
    <mergeCell ref="P37:P40"/>
    <mergeCell ref="P35:P36"/>
    <mergeCell ref="P49:P50"/>
    <mergeCell ref="O35:O36"/>
    <mergeCell ref="P33:P34"/>
    <mergeCell ref="Q7:Q11"/>
    <mergeCell ref="Q31:Q34"/>
    <mergeCell ref="Q28:Q30"/>
    <mergeCell ref="Q18:Q20"/>
    <mergeCell ref="Q13:Q14"/>
    <mergeCell ref="Q16:Q17"/>
    <mergeCell ref="Q21:Q22"/>
    <mergeCell ref="Q24:Q25"/>
    <mergeCell ref="P76:P79"/>
    <mergeCell ref="P51:P56"/>
    <mergeCell ref="P21:P22"/>
    <mergeCell ref="Q49:Q50"/>
    <mergeCell ref="Q51:Q56"/>
    <mergeCell ref="R35:R36"/>
    <mergeCell ref="R51:R56"/>
    <mergeCell ref="R41:R47"/>
    <mergeCell ref="R49:R50"/>
    <mergeCell ref="Q37:Q40"/>
    <mergeCell ref="Q41:Q47"/>
    <mergeCell ref="P28:P29"/>
    <mergeCell ref="Q35:Q36"/>
    <mergeCell ref="P60:P61"/>
    <mergeCell ref="P74:P75"/>
    <mergeCell ref="O7:O9"/>
    <mergeCell ref="P7:P9"/>
    <mergeCell ref="O10:O11"/>
    <mergeCell ref="P16:P17"/>
    <mergeCell ref="P30:P32"/>
  </mergeCells>
  <printOptions/>
  <pageMargins left="0.17" right="0.17" top="0.22" bottom="0.2" header="0.5" footer="0.5"/>
  <pageSetup fitToHeight="1" fitToWidth="1" horizontalDpi="1200" verticalDpi="12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F17" sqref="F17"/>
    </sheetView>
  </sheetViews>
  <sheetFormatPr defaultColWidth="8.88671875" defaultRowHeight="13.5"/>
  <sheetData>
    <row r="1" spans="1:16" ht="14.25">
      <c r="A1" s="258"/>
      <c r="B1" s="258"/>
      <c r="C1" s="258"/>
      <c r="D1" s="258"/>
      <c r="E1" s="258"/>
      <c r="F1" s="258"/>
      <c r="G1" s="259"/>
      <c r="H1" s="258"/>
      <c r="I1" s="258"/>
      <c r="J1" s="258"/>
      <c r="K1" s="258"/>
      <c r="L1" s="258"/>
      <c r="M1" s="258"/>
      <c r="N1" s="258"/>
      <c r="O1" s="258"/>
      <c r="P1" s="260"/>
    </row>
    <row r="2" spans="1:16" ht="14.25">
      <c r="A2" s="261" t="s">
        <v>346</v>
      </c>
      <c r="B2" s="412" t="s">
        <v>347</v>
      </c>
      <c r="C2" s="413"/>
      <c r="D2" s="413"/>
      <c r="E2" s="413"/>
      <c r="F2" s="413"/>
      <c r="G2" s="264" t="s">
        <v>348</v>
      </c>
      <c r="H2" s="263" t="s">
        <v>349</v>
      </c>
      <c r="I2" s="261" t="s">
        <v>350</v>
      </c>
      <c r="J2" s="258"/>
      <c r="K2" s="258"/>
      <c r="L2" s="258"/>
      <c r="M2" s="258"/>
      <c r="N2" s="258"/>
      <c r="O2" s="258"/>
      <c r="P2" s="260"/>
    </row>
    <row r="3" spans="1:16" ht="14.25">
      <c r="A3" s="265"/>
      <c r="B3" s="266" t="s">
        <v>351</v>
      </c>
      <c r="C3" s="267" t="s">
        <v>352</v>
      </c>
      <c r="D3" s="268" t="s">
        <v>353</v>
      </c>
      <c r="E3" s="267" t="s">
        <v>354</v>
      </c>
      <c r="F3" s="268" t="s">
        <v>355</v>
      </c>
      <c r="G3" s="269" t="s">
        <v>356</v>
      </c>
      <c r="H3" s="270" t="s">
        <v>357</v>
      </c>
      <c r="I3" s="265" t="s">
        <v>358</v>
      </c>
      <c r="J3" s="258"/>
      <c r="K3" s="258"/>
      <c r="L3" s="258"/>
      <c r="M3" s="258"/>
      <c r="N3" s="258"/>
      <c r="O3" s="258"/>
      <c r="P3" s="260"/>
    </row>
    <row r="4" spans="1:16" ht="14.25">
      <c r="A4" s="271" t="s">
        <v>359</v>
      </c>
      <c r="B4" s="272" t="s">
        <v>360</v>
      </c>
      <c r="C4" s="273" t="s">
        <v>361</v>
      </c>
      <c r="D4" s="272" t="s">
        <v>362</v>
      </c>
      <c r="E4" s="273" t="s">
        <v>363</v>
      </c>
      <c r="F4" s="274" t="s">
        <v>364</v>
      </c>
      <c r="G4" s="275">
        <v>14.4</v>
      </c>
      <c r="H4" s="272">
        <v>21.3</v>
      </c>
      <c r="I4" s="273">
        <v>1.9</v>
      </c>
      <c r="J4" s="258"/>
      <c r="K4" s="258"/>
      <c r="L4" s="258"/>
      <c r="M4" s="258"/>
      <c r="N4" s="258"/>
      <c r="O4" s="258"/>
      <c r="P4" s="260"/>
    </row>
    <row r="5" spans="1:16" ht="14.25">
      <c r="A5" s="276" t="s">
        <v>365</v>
      </c>
      <c r="B5" s="277" t="s">
        <v>366</v>
      </c>
      <c r="C5" s="278" t="s">
        <v>367</v>
      </c>
      <c r="D5" s="277" t="s">
        <v>368</v>
      </c>
      <c r="E5" s="278" t="s">
        <v>369</v>
      </c>
      <c r="F5" s="279" t="s">
        <v>370</v>
      </c>
      <c r="G5" s="280">
        <v>19.8</v>
      </c>
      <c r="H5" s="277">
        <v>34.6</v>
      </c>
      <c r="I5" s="278">
        <v>3.3</v>
      </c>
      <c r="J5" s="258"/>
      <c r="K5" s="258"/>
      <c r="L5" s="258"/>
      <c r="M5" s="258"/>
      <c r="N5" s="258"/>
      <c r="O5" s="258"/>
      <c r="P5" s="260"/>
    </row>
    <row r="6" spans="1:16" ht="14.25">
      <c r="A6" s="276" t="s">
        <v>371</v>
      </c>
      <c r="B6" s="277" t="s">
        <v>372</v>
      </c>
      <c r="C6" s="278" t="s">
        <v>373</v>
      </c>
      <c r="D6" s="277" t="s">
        <v>374</v>
      </c>
      <c r="E6" s="278" t="s">
        <v>375</v>
      </c>
      <c r="F6" s="279" t="s">
        <v>376</v>
      </c>
      <c r="G6" s="280">
        <v>24</v>
      </c>
      <c r="H6" s="277">
        <v>39.6</v>
      </c>
      <c r="I6" s="278">
        <v>5.1</v>
      </c>
      <c r="J6" s="258"/>
      <c r="K6" s="258"/>
      <c r="L6" s="258"/>
      <c r="M6" s="258"/>
      <c r="N6" s="258"/>
      <c r="O6" s="258"/>
      <c r="P6" s="260"/>
    </row>
    <row r="7" spans="1:16" ht="14.25">
      <c r="A7" s="276" t="s">
        <v>377</v>
      </c>
      <c r="B7" s="277" t="s">
        <v>378</v>
      </c>
      <c r="C7" s="278" t="s">
        <v>379</v>
      </c>
      <c r="D7" s="277" t="s">
        <v>380</v>
      </c>
      <c r="E7" s="278" t="s">
        <v>380</v>
      </c>
      <c r="F7" s="279" t="s">
        <v>381</v>
      </c>
      <c r="G7" s="280">
        <v>42</v>
      </c>
      <c r="H7" s="277">
        <v>39.3</v>
      </c>
      <c r="I7" s="278">
        <v>9.8</v>
      </c>
      <c r="J7" s="258"/>
      <c r="K7" s="258"/>
      <c r="L7" s="258"/>
      <c r="M7" s="258"/>
      <c r="N7" s="258"/>
      <c r="O7" s="258"/>
      <c r="P7" s="260"/>
    </row>
    <row r="8" spans="1:16" ht="14.25">
      <c r="A8" s="276" t="s">
        <v>382</v>
      </c>
      <c r="B8" s="277" t="s">
        <v>383</v>
      </c>
      <c r="C8" s="278" t="s">
        <v>384</v>
      </c>
      <c r="D8" s="277" t="s">
        <v>380</v>
      </c>
      <c r="E8" s="278" t="s">
        <v>380</v>
      </c>
      <c r="F8" s="279" t="s">
        <v>369</v>
      </c>
      <c r="G8" s="280">
        <v>37</v>
      </c>
      <c r="H8" s="277">
        <v>41.8</v>
      </c>
      <c r="I8" s="278">
        <v>8.5</v>
      </c>
      <c r="J8" s="258"/>
      <c r="K8" s="258"/>
      <c r="L8" s="258"/>
      <c r="M8" s="258"/>
      <c r="N8" s="258"/>
      <c r="O8" s="258"/>
      <c r="P8" s="260"/>
    </row>
    <row r="9" spans="1:16" ht="14.25">
      <c r="A9" s="276" t="s">
        <v>385</v>
      </c>
      <c r="B9" s="277" t="s">
        <v>386</v>
      </c>
      <c r="C9" s="278" t="s">
        <v>387</v>
      </c>
      <c r="D9" s="277" t="s">
        <v>388</v>
      </c>
      <c r="E9" s="278" t="s">
        <v>389</v>
      </c>
      <c r="F9" s="279" t="s">
        <v>390</v>
      </c>
      <c r="G9" s="280">
        <v>41</v>
      </c>
      <c r="H9" s="277">
        <v>47</v>
      </c>
      <c r="I9" s="278">
        <v>9.8</v>
      </c>
      <c r="J9" s="258"/>
      <c r="K9" s="258"/>
      <c r="L9" s="258"/>
      <c r="M9" s="258"/>
      <c r="N9" s="258"/>
      <c r="O9" s="258"/>
      <c r="P9" s="260"/>
    </row>
    <row r="10" spans="1:16" ht="14.25">
      <c r="A10" s="276" t="s">
        <v>391</v>
      </c>
      <c r="B10" s="277" t="s">
        <v>392</v>
      </c>
      <c r="C10" s="278" t="s">
        <v>393</v>
      </c>
      <c r="D10" s="277" t="s">
        <v>394</v>
      </c>
      <c r="E10" s="278" t="s">
        <v>395</v>
      </c>
      <c r="F10" s="279" t="s">
        <v>396</v>
      </c>
      <c r="G10" s="280">
        <v>86</v>
      </c>
      <c r="H10" s="277">
        <v>48.2</v>
      </c>
      <c r="I10" s="278">
        <v>22</v>
      </c>
      <c r="J10" s="258"/>
      <c r="K10" s="258"/>
      <c r="L10" s="258"/>
      <c r="M10" s="258"/>
      <c r="N10" s="258"/>
      <c r="O10" s="258"/>
      <c r="P10" s="260"/>
    </row>
    <row r="11" spans="1:16" ht="14.25">
      <c r="A11" s="276" t="s">
        <v>397</v>
      </c>
      <c r="B11" s="277" t="s">
        <v>398</v>
      </c>
      <c r="C11" s="278" t="s">
        <v>399</v>
      </c>
      <c r="D11" s="277" t="s">
        <v>400</v>
      </c>
      <c r="E11" s="278" t="s">
        <v>400</v>
      </c>
      <c r="F11" s="279" t="s">
        <v>401</v>
      </c>
      <c r="G11" s="280">
        <v>111</v>
      </c>
      <c r="H11" s="277">
        <v>58</v>
      </c>
      <c r="I11" s="278">
        <v>34</v>
      </c>
      <c r="J11" s="258"/>
      <c r="K11" s="258"/>
      <c r="L11" s="258"/>
      <c r="M11" s="258"/>
      <c r="N11" s="258"/>
      <c r="O11" s="258"/>
      <c r="P11" s="260"/>
    </row>
    <row r="12" spans="1:16" ht="14.25">
      <c r="A12" s="276" t="s">
        <v>402</v>
      </c>
      <c r="B12" s="277" t="s">
        <v>403</v>
      </c>
      <c r="C12" s="278" t="s">
        <v>404</v>
      </c>
      <c r="D12" s="277" t="s">
        <v>405</v>
      </c>
      <c r="E12" s="278" t="s">
        <v>406</v>
      </c>
      <c r="F12" s="279" t="s">
        <v>407</v>
      </c>
      <c r="G12" s="280">
        <v>118.5</v>
      </c>
      <c r="H12" s="277">
        <v>67.5</v>
      </c>
      <c r="I12" s="278">
        <v>41</v>
      </c>
      <c r="J12" s="258"/>
      <c r="K12" s="258"/>
      <c r="L12" s="258"/>
      <c r="M12" s="258"/>
      <c r="N12" s="258"/>
      <c r="O12" s="258"/>
      <c r="P12" s="260"/>
    </row>
    <row r="13" spans="1:16" ht="14.25">
      <c r="A13" s="276" t="s">
        <v>408</v>
      </c>
      <c r="B13" s="277" t="s">
        <v>409</v>
      </c>
      <c r="C13" s="278" t="s">
        <v>410</v>
      </c>
      <c r="D13" s="277" t="s">
        <v>411</v>
      </c>
      <c r="E13" s="278" t="s">
        <v>411</v>
      </c>
      <c r="F13" s="279" t="s">
        <v>412</v>
      </c>
      <c r="G13" s="280">
        <v>101.4</v>
      </c>
      <c r="H13" s="277">
        <v>67.1</v>
      </c>
      <c r="I13" s="278">
        <v>36</v>
      </c>
      <c r="J13" s="258"/>
      <c r="K13" s="258"/>
      <c r="L13" s="258"/>
      <c r="M13" s="258"/>
      <c r="N13" s="258"/>
      <c r="O13" s="258"/>
      <c r="P13" s="260"/>
    </row>
    <row r="14" spans="1:16" ht="14.25">
      <c r="A14" s="276" t="s">
        <v>413</v>
      </c>
      <c r="B14" s="277" t="s">
        <v>414</v>
      </c>
      <c r="C14" s="278" t="s">
        <v>415</v>
      </c>
      <c r="D14" s="277" t="s">
        <v>416</v>
      </c>
      <c r="E14" s="278" t="s">
        <v>416</v>
      </c>
      <c r="F14" s="279" t="s">
        <v>417</v>
      </c>
      <c r="G14" s="280">
        <v>148</v>
      </c>
      <c r="H14" s="277">
        <v>77</v>
      </c>
      <c r="I14" s="278">
        <v>60</v>
      </c>
      <c r="J14" s="258"/>
      <c r="K14" s="258"/>
      <c r="L14" s="258"/>
      <c r="M14" s="258"/>
      <c r="N14" s="258"/>
      <c r="O14" s="258"/>
      <c r="P14" s="260"/>
    </row>
    <row r="15" spans="1:16" ht="14.25">
      <c r="A15" s="276" t="s">
        <v>418</v>
      </c>
      <c r="B15" s="277" t="s">
        <v>419</v>
      </c>
      <c r="C15" s="278" t="s">
        <v>420</v>
      </c>
      <c r="D15" s="277" t="s">
        <v>421</v>
      </c>
      <c r="E15" s="278" t="s">
        <v>421</v>
      </c>
      <c r="F15" s="279" t="s">
        <v>422</v>
      </c>
      <c r="G15" s="280">
        <v>230</v>
      </c>
      <c r="H15" s="277">
        <v>94</v>
      </c>
      <c r="I15" s="278">
        <v>115</v>
      </c>
      <c r="J15" s="258"/>
      <c r="K15" s="258"/>
      <c r="L15" s="258"/>
      <c r="M15" s="258"/>
      <c r="N15" s="258"/>
      <c r="O15" s="258"/>
      <c r="P15" s="260"/>
    </row>
    <row r="16" spans="1:16" ht="14.25">
      <c r="A16" s="281" t="s">
        <v>423</v>
      </c>
      <c r="B16" s="282" t="s">
        <v>424</v>
      </c>
      <c r="C16" s="283" t="s">
        <v>425</v>
      </c>
      <c r="D16" s="282" t="s">
        <v>426</v>
      </c>
      <c r="E16" s="283" t="s">
        <v>426</v>
      </c>
      <c r="F16" s="284" t="s">
        <v>427</v>
      </c>
      <c r="G16" s="285">
        <v>247</v>
      </c>
      <c r="H16" s="282">
        <v>109</v>
      </c>
      <c r="I16" s="283">
        <v>139</v>
      </c>
      <c r="J16" s="258"/>
      <c r="K16" s="258"/>
      <c r="L16" s="258"/>
      <c r="M16" s="258"/>
      <c r="N16" s="258"/>
      <c r="O16" s="258"/>
      <c r="P16" s="260"/>
    </row>
    <row r="17" spans="1:16" ht="14.25">
      <c r="A17" s="258"/>
      <c r="B17" s="258"/>
      <c r="C17" s="258"/>
      <c r="D17" s="258"/>
      <c r="E17" s="258"/>
      <c r="F17" s="258"/>
      <c r="G17" s="259"/>
      <c r="H17" s="258"/>
      <c r="I17" s="258"/>
      <c r="J17" s="258"/>
      <c r="K17" s="258"/>
      <c r="L17" s="258"/>
      <c r="M17" s="258"/>
      <c r="N17" s="258"/>
      <c r="O17" s="258"/>
      <c r="P17" s="260"/>
    </row>
    <row r="18" spans="1:16" ht="14.25">
      <c r="A18" s="261" t="s">
        <v>346</v>
      </c>
      <c r="B18" s="261" t="s">
        <v>428</v>
      </c>
      <c r="C18" s="414" t="s">
        <v>429</v>
      </c>
      <c r="D18" s="415"/>
      <c r="E18" s="415"/>
      <c r="F18" s="416"/>
      <c r="G18" s="264" t="s">
        <v>348</v>
      </c>
      <c r="H18" s="263" t="s">
        <v>349</v>
      </c>
      <c r="I18" s="261" t="s">
        <v>430</v>
      </c>
      <c r="J18" s="258"/>
      <c r="K18" s="258"/>
      <c r="L18" s="258"/>
      <c r="M18" s="258"/>
      <c r="N18" s="258"/>
      <c r="O18" s="258"/>
      <c r="P18" s="260"/>
    </row>
    <row r="19" spans="1:16" ht="14.25">
      <c r="A19" s="286"/>
      <c r="B19" s="286"/>
      <c r="C19" s="287" t="s">
        <v>351</v>
      </c>
      <c r="D19" s="263" t="s">
        <v>352</v>
      </c>
      <c r="E19" s="261" t="s">
        <v>353</v>
      </c>
      <c r="F19" s="263" t="s">
        <v>431</v>
      </c>
      <c r="G19" s="269" t="s">
        <v>356</v>
      </c>
      <c r="H19" s="270" t="s">
        <v>357</v>
      </c>
      <c r="I19" s="265" t="s">
        <v>358</v>
      </c>
      <c r="J19" s="258"/>
      <c r="K19" s="258"/>
      <c r="L19" s="258"/>
      <c r="M19" s="258"/>
      <c r="N19" s="258"/>
      <c r="O19" s="258"/>
      <c r="P19" s="260"/>
    </row>
    <row r="20" spans="1:16" ht="14.25">
      <c r="A20" s="271" t="s">
        <v>432</v>
      </c>
      <c r="B20" s="273">
        <v>1</v>
      </c>
      <c r="C20" s="288" t="s">
        <v>433</v>
      </c>
      <c r="D20" s="272" t="s">
        <v>434</v>
      </c>
      <c r="E20" s="273" t="s">
        <v>435</v>
      </c>
      <c r="F20" s="288" t="s">
        <v>436</v>
      </c>
      <c r="G20" s="280">
        <v>44.8</v>
      </c>
      <c r="H20" s="277">
        <v>48.2</v>
      </c>
      <c r="I20" s="278">
        <v>11</v>
      </c>
      <c r="J20" s="258"/>
      <c r="K20" s="258"/>
      <c r="L20" s="258"/>
      <c r="M20" s="258"/>
      <c r="N20" s="258"/>
      <c r="O20" s="258"/>
      <c r="P20" s="260"/>
    </row>
    <row r="21" spans="1:16" ht="14.25">
      <c r="A21" s="276" t="s">
        <v>437</v>
      </c>
      <c r="B21" s="278">
        <v>2</v>
      </c>
      <c r="C21" s="289" t="s">
        <v>438</v>
      </c>
      <c r="D21" s="277" t="s">
        <v>439</v>
      </c>
      <c r="E21" s="278" t="s">
        <v>440</v>
      </c>
      <c r="F21" s="289" t="s">
        <v>441</v>
      </c>
      <c r="G21" s="280">
        <v>82.1</v>
      </c>
      <c r="H21" s="277">
        <v>64</v>
      </c>
      <c r="I21" s="278">
        <v>28</v>
      </c>
      <c r="J21" s="258"/>
      <c r="K21" s="258"/>
      <c r="L21" s="258"/>
      <c r="M21" s="258"/>
      <c r="N21" s="258"/>
      <c r="O21" s="258"/>
      <c r="P21" s="260"/>
    </row>
    <row r="22" spans="1:16" ht="14.25">
      <c r="A22" s="276" t="s">
        <v>442</v>
      </c>
      <c r="B22" s="278">
        <v>2</v>
      </c>
      <c r="C22" s="289" t="s">
        <v>438</v>
      </c>
      <c r="D22" s="277" t="s">
        <v>443</v>
      </c>
      <c r="E22" s="278" t="s">
        <v>440</v>
      </c>
      <c r="F22" s="289" t="s">
        <v>441</v>
      </c>
      <c r="G22" s="280">
        <v>81.4</v>
      </c>
      <c r="H22" s="277">
        <v>75.5</v>
      </c>
      <c r="I22" s="278">
        <v>33</v>
      </c>
      <c r="J22" s="258"/>
      <c r="K22" s="258"/>
      <c r="L22" s="258"/>
      <c r="M22" s="258"/>
      <c r="N22" s="258"/>
      <c r="O22" s="258"/>
      <c r="P22" s="260"/>
    </row>
    <row r="23" spans="1:16" ht="14.25">
      <c r="A23" s="276" t="s">
        <v>444</v>
      </c>
      <c r="B23" s="278">
        <v>1</v>
      </c>
      <c r="C23" s="289" t="s">
        <v>409</v>
      </c>
      <c r="D23" s="277" t="s">
        <v>445</v>
      </c>
      <c r="E23" s="278" t="s">
        <v>446</v>
      </c>
      <c r="F23" s="289" t="s">
        <v>447</v>
      </c>
      <c r="G23" s="280">
        <v>107</v>
      </c>
      <c r="H23" s="277">
        <v>90.8</v>
      </c>
      <c r="I23" s="278">
        <v>52</v>
      </c>
      <c r="J23" s="258"/>
      <c r="K23" s="258"/>
      <c r="L23" s="258"/>
      <c r="M23" s="258"/>
      <c r="N23" s="258"/>
      <c r="O23" s="258"/>
      <c r="P23" s="260"/>
    </row>
    <row r="24" spans="1:16" ht="14.25">
      <c r="A24" s="276" t="s">
        <v>448</v>
      </c>
      <c r="B24" s="278">
        <v>1</v>
      </c>
      <c r="C24" s="289" t="s">
        <v>414</v>
      </c>
      <c r="D24" s="277" t="s">
        <v>449</v>
      </c>
      <c r="E24" s="278" t="s">
        <v>450</v>
      </c>
      <c r="F24" s="289" t="s">
        <v>450</v>
      </c>
      <c r="G24" s="280">
        <v>149</v>
      </c>
      <c r="H24" s="277">
        <v>98</v>
      </c>
      <c r="I24" s="278">
        <v>78</v>
      </c>
      <c r="J24" s="258"/>
      <c r="K24" s="258"/>
      <c r="L24" s="258"/>
      <c r="M24" s="258"/>
      <c r="N24" s="258"/>
      <c r="O24" s="258"/>
      <c r="P24" s="260"/>
    </row>
    <row r="25" spans="1:16" ht="14.25">
      <c r="A25" s="276" t="s">
        <v>451</v>
      </c>
      <c r="B25" s="278">
        <v>1</v>
      </c>
      <c r="C25" s="289" t="s">
        <v>452</v>
      </c>
      <c r="D25" s="277" t="s">
        <v>449</v>
      </c>
      <c r="E25" s="278" t="s">
        <v>453</v>
      </c>
      <c r="F25" s="289" t="s">
        <v>453</v>
      </c>
      <c r="G25" s="280">
        <v>194</v>
      </c>
      <c r="H25" s="277">
        <v>98.8</v>
      </c>
      <c r="I25" s="278">
        <v>102</v>
      </c>
      <c r="J25" s="258"/>
      <c r="K25" s="258"/>
      <c r="L25" s="258"/>
      <c r="M25" s="258"/>
      <c r="N25" s="258"/>
      <c r="O25" s="258"/>
      <c r="P25" s="260"/>
    </row>
    <row r="26" spans="1:16" ht="14.25">
      <c r="A26" s="276" t="s">
        <v>454</v>
      </c>
      <c r="B26" s="278">
        <v>2</v>
      </c>
      <c r="C26" s="289" t="s">
        <v>455</v>
      </c>
      <c r="D26" s="277" t="s">
        <v>456</v>
      </c>
      <c r="E26" s="278" t="s">
        <v>457</v>
      </c>
      <c r="F26" s="289" t="s">
        <v>458</v>
      </c>
      <c r="G26" s="280">
        <v>240</v>
      </c>
      <c r="H26" s="277">
        <v>98.6</v>
      </c>
      <c r="I26" s="278">
        <v>116</v>
      </c>
      <c r="J26" s="258"/>
      <c r="K26" s="258"/>
      <c r="L26" s="258"/>
      <c r="M26" s="258"/>
      <c r="N26" s="258"/>
      <c r="O26" s="258"/>
      <c r="P26" s="260"/>
    </row>
    <row r="27" spans="1:16" ht="14.25">
      <c r="A27" s="281" t="s">
        <v>459</v>
      </c>
      <c r="B27" s="283">
        <v>1</v>
      </c>
      <c r="C27" s="290" t="s">
        <v>460</v>
      </c>
      <c r="D27" s="282" t="s">
        <v>461</v>
      </c>
      <c r="E27" s="283" t="s">
        <v>462</v>
      </c>
      <c r="F27" s="290" t="s">
        <v>463</v>
      </c>
      <c r="G27" s="285">
        <v>231</v>
      </c>
      <c r="H27" s="282">
        <v>91.3</v>
      </c>
      <c r="I27" s="283">
        <v>110</v>
      </c>
      <c r="J27" s="258"/>
      <c r="K27" s="258"/>
      <c r="L27" s="258"/>
      <c r="M27" s="258"/>
      <c r="N27" s="258"/>
      <c r="O27" s="258"/>
      <c r="P27" s="260"/>
    </row>
    <row r="28" spans="1:16" ht="14.25">
      <c r="A28" s="258"/>
      <c r="B28" s="258"/>
      <c r="C28" s="258"/>
      <c r="D28" s="258"/>
      <c r="E28" s="258"/>
      <c r="F28" s="258"/>
      <c r="G28" s="259"/>
      <c r="H28" s="258"/>
      <c r="I28" s="258"/>
      <c r="J28" s="258"/>
      <c r="K28" s="258"/>
      <c r="L28" s="258"/>
      <c r="M28" s="258"/>
      <c r="N28" s="258"/>
      <c r="O28" s="258"/>
      <c r="P28" s="260"/>
    </row>
    <row r="29" spans="1:16" ht="14.25">
      <c r="A29" s="262" t="s">
        <v>346</v>
      </c>
      <c r="B29" s="414" t="s">
        <v>464</v>
      </c>
      <c r="C29" s="415"/>
      <c r="D29" s="415"/>
      <c r="E29" s="416"/>
      <c r="F29" s="263"/>
      <c r="G29" s="291" t="s">
        <v>348</v>
      </c>
      <c r="H29" s="261" t="s">
        <v>349</v>
      </c>
      <c r="I29" s="287" t="s">
        <v>430</v>
      </c>
      <c r="J29" s="258"/>
      <c r="K29" s="258"/>
      <c r="L29" s="258"/>
      <c r="M29" s="258"/>
      <c r="N29" s="258"/>
      <c r="O29" s="258"/>
      <c r="P29" s="260"/>
    </row>
    <row r="30" spans="1:16" ht="14.25">
      <c r="A30" s="292"/>
      <c r="B30" s="266" t="s">
        <v>465</v>
      </c>
      <c r="C30" s="267" t="s">
        <v>466</v>
      </c>
      <c r="D30" s="268" t="s">
        <v>467</v>
      </c>
      <c r="E30" s="267" t="s">
        <v>468</v>
      </c>
      <c r="F30" s="270"/>
      <c r="G30" s="293" t="s">
        <v>356</v>
      </c>
      <c r="H30" s="265" t="s">
        <v>357</v>
      </c>
      <c r="I30" s="294" t="s">
        <v>358</v>
      </c>
      <c r="J30" s="258"/>
      <c r="K30" s="258"/>
      <c r="L30" s="258"/>
      <c r="M30" s="258"/>
      <c r="N30" s="258"/>
      <c r="O30" s="258"/>
      <c r="P30" s="260"/>
    </row>
    <row r="31" spans="1:16" ht="14.25">
      <c r="A31" s="295" t="s">
        <v>469</v>
      </c>
      <c r="B31" s="273" t="s">
        <v>470</v>
      </c>
      <c r="C31" s="278" t="s">
        <v>471</v>
      </c>
      <c r="D31" s="277" t="s">
        <v>472</v>
      </c>
      <c r="E31" s="273" t="s">
        <v>473</v>
      </c>
      <c r="F31" s="296"/>
      <c r="G31" s="297">
        <v>62</v>
      </c>
      <c r="H31" s="278">
        <v>37.4</v>
      </c>
      <c r="I31" s="289">
        <v>13</v>
      </c>
      <c r="J31" s="258"/>
      <c r="K31" s="258"/>
      <c r="L31" s="258"/>
      <c r="M31" s="258"/>
      <c r="N31" s="258"/>
      <c r="O31" s="258"/>
      <c r="P31" s="260"/>
    </row>
    <row r="32" spans="1:16" ht="14.25">
      <c r="A32" s="295" t="s">
        <v>474</v>
      </c>
      <c r="B32" s="278" t="s">
        <v>470</v>
      </c>
      <c r="C32" s="278" t="s">
        <v>471</v>
      </c>
      <c r="D32" s="277" t="s">
        <v>472</v>
      </c>
      <c r="E32" s="278" t="s">
        <v>475</v>
      </c>
      <c r="F32" s="296"/>
      <c r="G32" s="297">
        <v>62</v>
      </c>
      <c r="H32" s="278">
        <v>45.4</v>
      </c>
      <c r="I32" s="289">
        <v>15</v>
      </c>
      <c r="J32" s="258"/>
      <c r="K32" s="258"/>
      <c r="L32" s="258"/>
      <c r="M32" s="258"/>
      <c r="N32" s="258"/>
      <c r="O32" s="258"/>
      <c r="P32" s="260"/>
    </row>
    <row r="33" spans="1:16" ht="14.25">
      <c r="A33" s="295" t="s">
        <v>476</v>
      </c>
      <c r="B33" s="278" t="s">
        <v>477</v>
      </c>
      <c r="C33" s="278" t="s">
        <v>478</v>
      </c>
      <c r="D33" s="277" t="s">
        <v>479</v>
      </c>
      <c r="E33" s="278" t="s">
        <v>480</v>
      </c>
      <c r="F33" s="296"/>
      <c r="G33" s="297">
        <v>119</v>
      </c>
      <c r="H33" s="278">
        <v>46.3</v>
      </c>
      <c r="I33" s="289">
        <v>31</v>
      </c>
      <c r="J33" s="258"/>
      <c r="K33" s="258"/>
      <c r="L33" s="258"/>
      <c r="M33" s="258"/>
      <c r="N33" s="258"/>
      <c r="O33" s="258"/>
      <c r="P33" s="260"/>
    </row>
    <row r="34" spans="1:16" ht="14.25">
      <c r="A34" s="295" t="s">
        <v>481</v>
      </c>
      <c r="B34" s="278" t="s">
        <v>477</v>
      </c>
      <c r="C34" s="278" t="s">
        <v>478</v>
      </c>
      <c r="D34" s="277" t="s">
        <v>479</v>
      </c>
      <c r="E34" s="278" t="s">
        <v>482</v>
      </c>
      <c r="F34" s="296"/>
      <c r="G34" s="297">
        <v>118</v>
      </c>
      <c r="H34" s="278">
        <v>55.5</v>
      </c>
      <c r="I34" s="289">
        <v>36</v>
      </c>
      <c r="J34" s="258"/>
      <c r="K34" s="258"/>
      <c r="L34" s="258"/>
      <c r="M34" s="258"/>
      <c r="N34" s="258"/>
      <c r="O34" s="258"/>
      <c r="P34" s="260"/>
    </row>
    <row r="35" spans="1:16" ht="14.25">
      <c r="A35" s="295" t="s">
        <v>483</v>
      </c>
      <c r="B35" s="278" t="s">
        <v>484</v>
      </c>
      <c r="C35" s="278" t="s">
        <v>485</v>
      </c>
      <c r="D35" s="277" t="s">
        <v>486</v>
      </c>
      <c r="E35" s="278" t="s">
        <v>487</v>
      </c>
      <c r="F35" s="296"/>
      <c r="G35" s="297">
        <v>170</v>
      </c>
      <c r="H35" s="278">
        <v>55.5</v>
      </c>
      <c r="I35" s="289">
        <v>42</v>
      </c>
      <c r="J35" s="258"/>
      <c r="K35" s="258"/>
      <c r="L35" s="258"/>
      <c r="M35" s="258"/>
      <c r="N35" s="258"/>
      <c r="O35" s="258"/>
      <c r="P35" s="260"/>
    </row>
    <row r="36" spans="1:16" ht="14.25">
      <c r="A36" s="295" t="s">
        <v>488</v>
      </c>
      <c r="B36" s="278" t="s">
        <v>484</v>
      </c>
      <c r="C36" s="278" t="s">
        <v>485</v>
      </c>
      <c r="D36" s="277" t="s">
        <v>486</v>
      </c>
      <c r="E36" s="278" t="s">
        <v>489</v>
      </c>
      <c r="F36" s="296"/>
      <c r="G36" s="297">
        <v>161</v>
      </c>
      <c r="H36" s="278">
        <v>74.6</v>
      </c>
      <c r="I36" s="289">
        <v>55</v>
      </c>
      <c r="J36" s="258"/>
      <c r="K36" s="258"/>
      <c r="L36" s="258"/>
      <c r="M36" s="258"/>
      <c r="N36" s="258"/>
      <c r="O36" s="258"/>
      <c r="P36" s="260"/>
    </row>
    <row r="37" spans="1:16" ht="14.25">
      <c r="A37" s="295" t="s">
        <v>490</v>
      </c>
      <c r="B37" s="278" t="s">
        <v>491</v>
      </c>
      <c r="C37" s="278" t="s">
        <v>492</v>
      </c>
      <c r="D37" s="277" t="s">
        <v>493</v>
      </c>
      <c r="E37" s="278" t="s">
        <v>494</v>
      </c>
      <c r="F37" s="296"/>
      <c r="G37" s="297">
        <v>196</v>
      </c>
      <c r="H37" s="278">
        <v>87.9</v>
      </c>
      <c r="I37" s="289">
        <v>73</v>
      </c>
      <c r="J37" s="258"/>
      <c r="K37" s="258"/>
      <c r="L37" s="258"/>
      <c r="M37" s="258"/>
      <c r="N37" s="258"/>
      <c r="O37" s="258"/>
      <c r="P37" s="260"/>
    </row>
    <row r="38" spans="1:16" ht="14.25">
      <c r="A38" s="295" t="s">
        <v>495</v>
      </c>
      <c r="B38" s="278" t="s">
        <v>496</v>
      </c>
      <c r="C38" s="278" t="s">
        <v>497</v>
      </c>
      <c r="D38" s="277" t="s">
        <v>498</v>
      </c>
      <c r="E38" s="278" t="s">
        <v>499</v>
      </c>
      <c r="F38" s="296"/>
      <c r="G38" s="297">
        <v>201</v>
      </c>
      <c r="H38" s="278">
        <v>101.9</v>
      </c>
      <c r="I38" s="289">
        <v>95</v>
      </c>
      <c r="J38" s="258"/>
      <c r="K38" s="258"/>
      <c r="L38" s="258"/>
      <c r="M38" s="258"/>
      <c r="N38" s="258"/>
      <c r="O38" s="258"/>
      <c r="P38" s="260"/>
    </row>
    <row r="39" spans="1:16" ht="14.25">
      <c r="A39" s="298" t="s">
        <v>500</v>
      </c>
      <c r="B39" s="283" t="s">
        <v>419</v>
      </c>
      <c r="C39" s="283" t="s">
        <v>501</v>
      </c>
      <c r="D39" s="282" t="s">
        <v>502</v>
      </c>
      <c r="E39" s="283" t="s">
        <v>503</v>
      </c>
      <c r="F39" s="299"/>
      <c r="G39" s="300">
        <v>328</v>
      </c>
      <c r="H39" s="283">
        <v>113</v>
      </c>
      <c r="I39" s="290">
        <v>195</v>
      </c>
      <c r="J39" s="258"/>
      <c r="K39" s="258"/>
      <c r="L39" s="258"/>
      <c r="M39" s="258"/>
      <c r="N39" s="258"/>
      <c r="O39" s="258"/>
      <c r="P39" s="260"/>
    </row>
    <row r="40" spans="1:16" ht="14.25">
      <c r="A40" s="258"/>
      <c r="B40" s="258"/>
      <c r="C40" s="258"/>
      <c r="D40" s="258"/>
      <c r="E40" s="258"/>
      <c r="F40" s="258"/>
      <c r="G40" s="259"/>
      <c r="H40" s="258"/>
      <c r="I40" s="258"/>
      <c r="J40" s="258"/>
      <c r="K40" s="258"/>
      <c r="L40" s="258"/>
      <c r="M40" s="258"/>
      <c r="N40" s="258"/>
      <c r="O40" s="258"/>
      <c r="P40" s="260"/>
    </row>
    <row r="41" spans="1:16" ht="14.25">
      <c r="A41" s="258"/>
      <c r="B41" s="258"/>
      <c r="C41" s="258"/>
      <c r="D41" s="258"/>
      <c r="E41" s="258"/>
      <c r="F41" s="258"/>
      <c r="G41" s="259"/>
      <c r="H41" s="258"/>
      <c r="I41" s="258"/>
      <c r="J41" s="258"/>
      <c r="K41" s="258"/>
      <c r="L41" s="258"/>
      <c r="M41" s="258"/>
      <c r="N41" s="258"/>
      <c r="O41" s="258"/>
      <c r="P41" s="260"/>
    </row>
    <row r="42" spans="1:16" ht="14.25">
      <c r="A42" s="258"/>
      <c r="B42" s="258"/>
      <c r="C42" s="258"/>
      <c r="D42" s="258"/>
      <c r="E42" s="258"/>
      <c r="F42" s="258"/>
      <c r="G42" s="259"/>
      <c r="H42" s="258"/>
      <c r="I42" s="258"/>
      <c r="J42" s="258"/>
      <c r="K42" s="258"/>
      <c r="L42" s="258"/>
      <c r="M42" s="258"/>
      <c r="N42" s="258"/>
      <c r="O42" s="258"/>
      <c r="P42" s="260"/>
    </row>
    <row r="43" spans="1:16" ht="14.25">
      <c r="A43" s="258"/>
      <c r="B43" s="258"/>
      <c r="C43" s="258"/>
      <c r="D43" s="258"/>
      <c r="E43" s="258"/>
      <c r="F43" s="258"/>
      <c r="G43" s="259"/>
      <c r="H43" s="258"/>
      <c r="I43" s="258"/>
      <c r="J43" s="258"/>
      <c r="K43" s="258"/>
      <c r="L43" s="258"/>
      <c r="M43" s="258"/>
      <c r="N43" s="258"/>
      <c r="O43" s="258"/>
      <c r="P43" s="260"/>
    </row>
    <row r="44" spans="1:16" ht="14.25">
      <c r="A44" s="258"/>
      <c r="B44" s="258"/>
      <c r="C44" s="258"/>
      <c r="D44" s="258"/>
      <c r="E44" s="258"/>
      <c r="F44" s="258"/>
      <c r="G44" s="259"/>
      <c r="H44" s="258"/>
      <c r="I44" s="258"/>
      <c r="J44" s="258"/>
      <c r="K44" s="258"/>
      <c r="L44" s="258"/>
      <c r="M44" s="258"/>
      <c r="N44" s="258"/>
      <c r="O44" s="258"/>
      <c r="P44" s="260"/>
    </row>
    <row r="45" spans="1:16" ht="14.25">
      <c r="A45" s="258"/>
      <c r="B45" s="258"/>
      <c r="C45" s="258"/>
      <c r="D45" s="258"/>
      <c r="E45" s="258"/>
      <c r="F45" s="258"/>
      <c r="G45" s="259"/>
      <c r="H45" s="258"/>
      <c r="I45" s="258"/>
      <c r="J45" s="258"/>
      <c r="K45" s="258"/>
      <c r="L45" s="258"/>
      <c r="M45" s="258"/>
      <c r="N45" s="258"/>
      <c r="O45" s="258"/>
      <c r="P45" s="260"/>
    </row>
    <row r="46" spans="1:16" ht="14.25">
      <c r="A46" s="258"/>
      <c r="B46" s="258"/>
      <c r="C46" s="258"/>
      <c r="D46" s="258"/>
      <c r="E46" s="258"/>
      <c r="F46" s="258"/>
      <c r="G46" s="259"/>
      <c r="H46" s="258"/>
      <c r="I46" s="258"/>
      <c r="J46" s="258"/>
      <c r="K46" s="258"/>
      <c r="L46" s="258"/>
      <c r="M46" s="258"/>
      <c r="N46" s="258"/>
      <c r="O46" s="258"/>
      <c r="P46" s="260"/>
    </row>
    <row r="47" spans="1:16" ht="14.25">
      <c r="A47" s="258"/>
      <c r="B47" s="258"/>
      <c r="C47" s="258"/>
      <c r="D47" s="258"/>
      <c r="E47" s="258"/>
      <c r="F47" s="258"/>
      <c r="G47" s="259"/>
      <c r="H47" s="258"/>
      <c r="I47" s="258"/>
      <c r="J47" s="258"/>
      <c r="K47" s="258"/>
      <c r="L47" s="258"/>
      <c r="M47" s="258"/>
      <c r="N47" s="258"/>
      <c r="O47" s="258"/>
      <c r="P47" s="260"/>
    </row>
    <row r="48" spans="1:16" ht="14.25">
      <c r="A48" s="258"/>
      <c r="B48" s="258"/>
      <c r="C48" s="258"/>
      <c r="D48" s="258"/>
      <c r="E48" s="258"/>
      <c r="F48" s="258"/>
      <c r="G48" s="259"/>
      <c r="H48" s="258"/>
      <c r="I48" s="258"/>
      <c r="J48" s="258"/>
      <c r="K48" s="258"/>
      <c r="L48" s="258"/>
      <c r="M48" s="258"/>
      <c r="N48" s="258"/>
      <c r="O48" s="258"/>
      <c r="P48" s="260"/>
    </row>
    <row r="49" spans="1:16" ht="14.25">
      <c r="A49" s="258"/>
      <c r="B49" s="258"/>
      <c r="C49" s="258"/>
      <c r="D49" s="258"/>
      <c r="E49" s="258"/>
      <c r="F49" s="258"/>
      <c r="G49" s="259"/>
      <c r="H49" s="258"/>
      <c r="I49" s="258"/>
      <c r="J49" s="258"/>
      <c r="K49" s="258"/>
      <c r="L49" s="258"/>
      <c r="M49" s="258"/>
      <c r="N49" s="258"/>
      <c r="O49" s="258"/>
      <c r="P49" s="260"/>
    </row>
  </sheetData>
  <sheetProtection/>
  <mergeCells count="3">
    <mergeCell ref="B2:F2"/>
    <mergeCell ref="C18:F18"/>
    <mergeCell ref="B29:E2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Cassandra Terry</dc:creator>
  <cp:keywords/>
  <dc:description/>
  <cp:lastModifiedBy>Windows User</cp:lastModifiedBy>
  <cp:lastPrinted>2006-07-10T23:48:16Z</cp:lastPrinted>
  <dcterms:created xsi:type="dcterms:W3CDTF">1997-01-10T04:21:27Z</dcterms:created>
  <dcterms:modified xsi:type="dcterms:W3CDTF">2013-03-26T13:00:11Z</dcterms:modified>
  <cp:category/>
  <cp:version/>
  <cp:contentType/>
  <cp:contentStatus/>
</cp:coreProperties>
</file>