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5521" yWindow="6435" windowWidth="19170" windowHeight="6495" activeTab="0"/>
  </bookViews>
  <sheets>
    <sheet name="Sheet2" sheetId="1" r:id="rId1"/>
    <sheet name="Spreadsheet" sheetId="2" state="veryHidden" r:id="rId2"/>
  </sheets>
  <definedNames>
    <definedName name="BVdss">'Spreadsheet'!#REF!</definedName>
    <definedName name="BVdss1">'Spreadsheet'!$G$24</definedName>
    <definedName name="CCM">'Spreadsheet'!$F$37</definedName>
    <definedName name="Ct">#REF!</definedName>
    <definedName name="Derat1">'Spreadsheet'!$G$26</definedName>
    <definedName name="Eff">#REF!</definedName>
    <definedName name="eff1">'Spreadsheet'!$G$33</definedName>
    <definedName name="Fmax">#REF!</definedName>
    <definedName name="Fmax1">'Spreadsheet'!$G$22</definedName>
    <definedName name="FmaxDCM">#REF!</definedName>
    <definedName name="Ip">#REF!</definedName>
    <definedName name="Kc">'Spreadsheet'!$G$28</definedName>
    <definedName name="Lp">#REF!</definedName>
    <definedName name="Lp1">'Spreadsheet'!$G$46</definedName>
    <definedName name="pcpmax">'Spreadsheet'!$G$40</definedName>
    <definedName name="Pmax1">'Spreadsheet'!$G$20</definedName>
    <definedName name="Poutmax">#REF!</definedName>
    <definedName name="PoutmaxDCM">#REF!</definedName>
    <definedName name="_xlnm.Print_Area" localSheetId="1">'Spreadsheet'!$A$1:$Y$58</definedName>
    <definedName name="Psense">#REF!</definedName>
    <definedName name="Rs">#REF!</definedName>
    <definedName name="Vcs1">'Spreadsheet'!$G$35</definedName>
    <definedName name="Vf1">'Spreadsheet'!$G$31</definedName>
    <definedName name="Vin1">'Spreadsheet'!#REF!</definedName>
    <definedName name="Vinmax">'Spreadsheet'!#REF!</definedName>
    <definedName name="Vinmin">#REF!</definedName>
    <definedName name="Vinmin1">'Spreadsheet'!#REF!</definedName>
    <definedName name="Vmaxin">'Spreadsheet'!$G$16</definedName>
    <definedName name="Vminin">'Spreadsheet'!$G$14</definedName>
    <definedName name="Vout1">'Spreadsheet'!$G$18</definedName>
    <definedName name="Vreflect">#REF!</definedName>
    <definedName name="Vreflect1">'Spreadsheet'!$G$29</definedName>
  </definedNames>
  <calcPr fullCalcOnLoad="1"/>
</workbook>
</file>

<file path=xl/sharedStrings.xml><?xml version="1.0" encoding="utf-8"?>
<sst xmlns="http://schemas.openxmlformats.org/spreadsheetml/2006/main" count="57" uniqueCount="42">
  <si>
    <t>V</t>
  </si>
  <si>
    <t>W</t>
  </si>
  <si>
    <t>kHz</t>
  </si>
  <si>
    <t>Inputs</t>
  </si>
  <si>
    <t>Results</t>
  </si>
  <si>
    <r>
      <t xml:space="preserve">Minimum DC input voltage: </t>
    </r>
    <r>
      <rPr>
        <b/>
        <sz val="10"/>
        <rFont val="Arial"/>
        <family val="2"/>
      </rPr>
      <t>Vin(min) =</t>
    </r>
  </si>
  <si>
    <r>
      <t xml:space="preserve">Primary inductance: </t>
    </r>
    <r>
      <rPr>
        <b/>
        <sz val="10"/>
        <rFont val="Arial"/>
        <family val="2"/>
      </rPr>
      <t>Lp =</t>
    </r>
  </si>
  <si>
    <r>
      <t xml:space="preserve">Peak Primary current: </t>
    </r>
    <r>
      <rPr>
        <b/>
        <sz val="10"/>
        <rFont val="Arial"/>
        <family val="2"/>
      </rPr>
      <t>Ip =</t>
    </r>
  </si>
  <si>
    <r>
      <t xml:space="preserve">Maximum output power: </t>
    </r>
    <r>
      <rPr>
        <b/>
        <sz val="10"/>
        <rFont val="Arial"/>
        <family val="2"/>
      </rPr>
      <t>Pout(max) =</t>
    </r>
  </si>
  <si>
    <r>
      <t xml:space="preserve">Efficiency: </t>
    </r>
    <r>
      <rPr>
        <b/>
        <sz val="10"/>
        <rFont val="Arial"/>
        <family val="2"/>
      </rPr>
      <t>Eff =</t>
    </r>
  </si>
  <si>
    <t>%</t>
  </si>
  <si>
    <t>µH</t>
  </si>
  <si>
    <t>A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</si>
  <si>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capacitor value: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</si>
  <si>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t>pF</t>
  </si>
  <si>
    <t>NCP1351 Inductor calculation</t>
  </si>
  <si>
    <r>
      <t xml:space="preserve">Forward voltage of the secondary rectifier: </t>
    </r>
    <r>
      <rPr>
        <b/>
        <sz val="10"/>
        <rFont val="Arial"/>
        <family val="2"/>
      </rPr>
      <t>Vf =</t>
    </r>
  </si>
  <si>
    <r>
      <t xml:space="preserve">Output voltage: </t>
    </r>
    <r>
      <rPr>
        <b/>
        <sz val="10"/>
        <rFont val="Arial"/>
        <family val="2"/>
      </rPr>
      <t>Vout =</t>
    </r>
  </si>
  <si>
    <r>
      <t xml:space="preserve">Maximum frequency at min Vin and max Pout: </t>
    </r>
    <r>
      <rPr>
        <b/>
        <sz val="10"/>
        <rFont val="Arial"/>
        <family val="2"/>
      </rPr>
      <t>Fmax =</t>
    </r>
  </si>
  <si>
    <t>Allow CCM</t>
  </si>
  <si>
    <r>
      <t xml:space="preserve">Sense resistor value: 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</si>
  <si>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Voltage across the sense resistor: 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 xml:space="preserve"> =</t>
    </r>
  </si>
  <si>
    <r>
      <t xml:space="preserve">Current sense series resistor value: 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CS</t>
    </r>
    <r>
      <rPr>
        <b/>
        <sz val="10"/>
        <rFont val="Arial"/>
        <family val="2"/>
      </rPr>
      <t xml:space="preserve"> =</t>
    </r>
  </si>
  <si>
    <r>
      <t>k</t>
    </r>
    <r>
      <rPr>
        <sz val="10"/>
        <rFont val="Symbol"/>
        <family val="1"/>
      </rPr>
      <t>W</t>
    </r>
  </si>
  <si>
    <t>% of Pmax to enter CCM at low Vin</t>
  </si>
  <si>
    <r>
      <t xml:space="preserve">Maximum DC input voltage: </t>
    </r>
    <r>
      <rPr>
        <b/>
        <sz val="10"/>
        <rFont val="Arial"/>
        <family val="2"/>
      </rPr>
      <t>Vin(max) =</t>
    </r>
  </si>
  <si>
    <r>
      <t xml:space="preserve">Mosfet maximum allowable voltage: </t>
    </r>
    <r>
      <rPr>
        <b/>
        <sz val="10"/>
        <rFont val="Arial"/>
        <family val="2"/>
      </rPr>
      <t>max BVdss =</t>
    </r>
  </si>
  <si>
    <t>Derating on Mosfet maximum  voltage</t>
  </si>
  <si>
    <t>Ifb</t>
  </si>
  <si>
    <t>Ip</t>
  </si>
  <si>
    <t>Fsw</t>
  </si>
  <si>
    <t>Pout</t>
  </si>
  <si>
    <t>Io</t>
  </si>
  <si>
    <t>Vinmin</t>
  </si>
  <si>
    <t>Vinmax</t>
  </si>
  <si>
    <t>Switching frequency versus output power at Vin(min) and Vin(max)</t>
  </si>
  <si>
    <r>
      <t xml:space="preserve">Ratio between Clamp voltage and reflected voltage: </t>
    </r>
    <r>
      <rPr>
        <b/>
        <sz val="10"/>
        <rFont val="Arial"/>
        <family val="2"/>
      </rPr>
      <t>Kc =</t>
    </r>
  </si>
  <si>
    <r>
      <t>Secondary to primary transformer turn ratio</t>
    </r>
    <r>
      <rPr>
        <b/>
        <sz val="10"/>
        <rFont val="Arial"/>
        <family val="2"/>
      </rPr>
      <t xml:space="preserve"> N = Ns/Np =</t>
    </r>
  </si>
  <si>
    <t>Please note that it is a general tool to assist designers in using the controller: the proposed output is to be used as a guideline and does not provide any measure of the success of a particular system design.</t>
  </si>
  <si>
    <t>This tool helps designing a power supply using the NCP1351 by computing the key external components (a detail of the equations used can be found in the NCP1351 data sheet).</t>
  </si>
  <si>
    <t>You must enable the macros to run this application</t>
  </si>
  <si>
    <t>Rev 1.3 - N. Cyr / Dec.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</si>
</sst>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22"/>
      <name val="Arial"/>
      <family val="2"/>
    </font>
    <font>
      <sz val="10"/>
      <name val="Symbol"/>
      <family val="1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u val="singleAccounting"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2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/>
    </xf>
    <xf numFmtId="172" fontId="4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wrapText="1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73"/>
        </c:manualLayout>
      </c:layout>
      <c:scatterChart>
        <c:scatterStyle val="line"/>
        <c:varyColors val="0"/>
        <c:ser>
          <c:idx val="1"/>
          <c:order val="0"/>
          <c:tx>
            <c:v>Vin(min)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Spreadsheet!$I$63:$Y$63</c:f>
              <c:numCache/>
            </c:numRef>
          </c:xVal>
          <c:yVal>
            <c:numRef>
              <c:f>Spreadsheet!$I$60:$Y$60</c:f>
              <c:numCache/>
            </c:numRef>
          </c:yVal>
          <c:smooth val="0"/>
        </c:ser>
        <c:ser>
          <c:idx val="0"/>
          <c:order val="1"/>
          <c:tx>
            <c:v>Vin(max)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Spreadsheet!$I$66:$Y$66</c:f>
              <c:numCache/>
            </c:numRef>
          </c:xVal>
          <c:yVal>
            <c:numRef>
              <c:f>Spreadsheet!$I$60:$Y$60</c:f>
              <c:numCache/>
            </c:numRef>
          </c:yVal>
          <c:smooth val="0"/>
        </c:ser>
        <c:ser>
          <c:idx val="2"/>
          <c:order val="2"/>
          <c:tx>
            <c:v>CCM transition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Spreadsheet!$I$67:$J$67</c:f>
              <c:numCache/>
            </c:numRef>
          </c:xVal>
          <c:yVal>
            <c:numRef>
              <c:f>Spreadsheet!$I$68:$J$68</c:f>
              <c:numCache/>
            </c:numRef>
          </c:yVal>
          <c:smooth val="0"/>
        </c:ser>
        <c:axId val="36483151"/>
        <c:axId val="59912904"/>
      </c:scatterChart>
      <c:val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</c:val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</c:valAx>
      <c:spPr>
        <a:noFill/>
        <a:ln w="38100">
          <a:solidFill/>
        </a:ln>
      </c:spPr>
    </c:plotArea>
    <c:legend>
      <c:legendPos val="r"/>
      <c:layout>
        <c:manualLayout>
          <c:xMode val="edge"/>
          <c:yMode val="edge"/>
          <c:x val="0.66825"/>
          <c:y val="0.66775"/>
          <c:w val="0.258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37</xdr:row>
      <xdr:rowOff>28575</xdr:rowOff>
    </xdr:from>
    <xdr:to>
      <xdr:col>6</xdr:col>
      <xdr:colOff>552450</xdr:colOff>
      <xdr:row>37</xdr:row>
      <xdr:rowOff>152400</xdr:rowOff>
    </xdr:to>
    <xdr:pic>
      <xdr:nvPicPr>
        <xdr:cNvPr id="1" name="CheckC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84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57150</xdr:colOff>
      <xdr:row>4</xdr:row>
      <xdr:rowOff>28575</xdr:rowOff>
    </xdr:from>
    <xdr:to>
      <xdr:col>24</xdr:col>
      <xdr:colOff>514350</xdr:colOff>
      <xdr:row>51</xdr:row>
      <xdr:rowOff>171450</xdr:rowOff>
    </xdr:to>
    <xdr:graphicFrame>
      <xdr:nvGraphicFramePr>
        <xdr:cNvPr id="2" name="Chart 8"/>
        <xdr:cNvGraphicFramePr/>
      </xdr:nvGraphicFramePr>
      <xdr:xfrm>
        <a:off x="5819775" y="695325"/>
        <a:ext cx="57912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581025</xdr:colOff>
      <xdr:row>3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20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95250</xdr:rowOff>
    </xdr:from>
    <xdr:to>
      <xdr:col>11</xdr:col>
      <xdr:colOff>219075</xdr:colOff>
      <xdr:row>3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525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2:I15"/>
  <sheetViews>
    <sheetView showGridLines="0" showRowColHeaders="0" tabSelected="1" workbookViewId="0" topLeftCell="A1">
      <selection activeCell="A12" sqref="A12"/>
    </sheetView>
  </sheetViews>
  <sheetFormatPr defaultColWidth="9.140625" defaultRowHeight="12.75"/>
  <sheetData>
    <row r="12" spans="1:9" ht="23.25">
      <c r="A12" s="54" t="s">
        <v>40</v>
      </c>
      <c r="B12" s="55"/>
      <c r="C12" s="55"/>
      <c r="D12" s="55"/>
      <c r="E12" s="55"/>
      <c r="F12" s="55"/>
      <c r="G12" s="55"/>
      <c r="H12" s="55"/>
      <c r="I12" s="55"/>
    </row>
    <row r="15" spans="6:9" ht="23.25">
      <c r="F15" s="53"/>
      <c r="G15" s="53"/>
      <c r="H15" s="53"/>
      <c r="I15" s="53"/>
    </row>
  </sheetData>
  <sheetProtection password="D44D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70"/>
  <sheetViews>
    <sheetView showGridLines="0" showZeros="0" showOutlineSymbols="0" zoomScale="106" zoomScaleNormal="106" workbookViewId="0" topLeftCell="A1">
      <selection activeCell="Z7" sqref="Z7"/>
    </sheetView>
  </sheetViews>
  <sheetFormatPr defaultColWidth="9.140625" defaultRowHeight="12.75"/>
  <cols>
    <col min="1" max="1" width="8.8515625" style="1" customWidth="1"/>
    <col min="2" max="2" width="10.57421875" style="1" customWidth="1"/>
    <col min="3" max="6" width="9.140625" style="1" customWidth="1"/>
    <col min="7" max="7" width="13.8515625" style="1" customWidth="1"/>
    <col min="8" max="8" width="5.140625" style="1" customWidth="1"/>
    <col min="9" max="24" width="5.7109375" style="1" customWidth="1"/>
    <col min="25" max="25" width="8.28125" style="1" customWidth="1"/>
    <col min="26" max="26" width="7.00390625" style="1" customWidth="1"/>
    <col min="27" max="16384" width="9.140625" style="1" customWidth="1"/>
  </cols>
  <sheetData>
    <row r="1" ht="13.5" thickBot="1">
      <c r="G1" s="2"/>
    </row>
    <row r="2" spans="2:9" ht="12.75" customHeight="1">
      <c r="B2" s="71" t="s">
        <v>15</v>
      </c>
      <c r="C2" s="72"/>
      <c r="D2" s="72"/>
      <c r="E2" s="72"/>
      <c r="F2" s="72"/>
      <c r="G2" s="72"/>
      <c r="H2" s="72"/>
      <c r="I2" s="73"/>
    </row>
    <row r="3" spans="2:9" ht="13.5" customHeight="1" thickBot="1">
      <c r="B3" s="74"/>
      <c r="C3" s="75"/>
      <c r="D3" s="75"/>
      <c r="E3" s="75"/>
      <c r="F3" s="75"/>
      <c r="G3" s="75"/>
      <c r="H3" s="75"/>
      <c r="I3" s="76"/>
    </row>
    <row r="4" spans="2:8" ht="12.75">
      <c r="B4" s="49"/>
      <c r="C4" s="49"/>
      <c r="D4" s="49"/>
      <c r="E4" s="50"/>
      <c r="F4" s="69" t="s">
        <v>41</v>
      </c>
      <c r="G4" s="69"/>
      <c r="H4" s="69"/>
    </row>
    <row r="5" spans="2:8" ht="12.75">
      <c r="B5" s="9"/>
      <c r="C5" s="9"/>
      <c r="D5" s="9"/>
      <c r="E5" s="51"/>
      <c r="F5" s="70"/>
      <c r="G5" s="70"/>
      <c r="H5" s="70"/>
    </row>
    <row r="6" spans="1:25" s="41" customFormat="1" ht="11.25" customHeight="1">
      <c r="A6" s="68" t="s">
        <v>39</v>
      </c>
      <c r="B6" s="68"/>
      <c r="C6" s="68"/>
      <c r="D6" s="68"/>
      <c r="E6" s="68"/>
      <c r="F6" s="68"/>
      <c r="G6" s="68"/>
      <c r="H6" s="68"/>
      <c r="I6" s="68"/>
      <c r="J6" s="68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10" ht="11.25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1.25" customHeight="1">
      <c r="A8" s="68" t="s">
        <v>38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1.25" customHeight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ht="12.75">
      <c r="G10" s="2"/>
    </row>
    <row r="11" spans="1:8" ht="12.75" customHeight="1">
      <c r="A11" s="9"/>
      <c r="D11" s="66" t="s">
        <v>3</v>
      </c>
      <c r="E11" s="66"/>
      <c r="F11" s="66"/>
      <c r="G11" s="22"/>
      <c r="H11" s="9"/>
    </row>
    <row r="12" spans="1:8" ht="13.5" customHeight="1" thickBot="1">
      <c r="A12" s="9"/>
      <c r="D12" s="67"/>
      <c r="E12" s="67"/>
      <c r="F12" s="67"/>
      <c r="G12" s="9"/>
      <c r="H12" s="9"/>
    </row>
    <row r="13" spans="1:62" ht="7.5" customHeight="1">
      <c r="A13" s="9"/>
      <c r="B13" s="5"/>
      <c r="C13" s="6"/>
      <c r="D13" s="6"/>
      <c r="E13" s="6"/>
      <c r="F13" s="6"/>
      <c r="G13" s="6"/>
      <c r="H13" s="7"/>
      <c r="BI13" s="1">
        <v>0</v>
      </c>
      <c r="BJ13" s="1">
        <v>0</v>
      </c>
    </row>
    <row r="14" spans="1:62" ht="12.75">
      <c r="A14" s="15"/>
      <c r="B14" s="61" t="s">
        <v>5</v>
      </c>
      <c r="C14" s="58"/>
      <c r="D14" s="58"/>
      <c r="E14" s="58"/>
      <c r="F14" s="58"/>
      <c r="G14" s="46">
        <v>100</v>
      </c>
      <c r="H14" s="10" t="s">
        <v>0</v>
      </c>
      <c r="BI14" s="1">
        <v>0</v>
      </c>
      <c r="BJ14" s="1">
        <v>0</v>
      </c>
    </row>
    <row r="15" spans="1:8" ht="7.5" customHeight="1">
      <c r="A15" s="9"/>
      <c r="B15" s="8"/>
      <c r="C15" s="9"/>
      <c r="D15" s="9"/>
      <c r="E15" s="9"/>
      <c r="F15" s="9"/>
      <c r="G15" s="14"/>
      <c r="H15" s="10"/>
    </row>
    <row r="16" spans="1:8" ht="12.75">
      <c r="A16" s="15"/>
      <c r="B16" s="61" t="s">
        <v>25</v>
      </c>
      <c r="C16" s="58"/>
      <c r="D16" s="58"/>
      <c r="E16" s="58"/>
      <c r="F16" s="58"/>
      <c r="G16" s="46">
        <v>375</v>
      </c>
      <c r="H16" s="10" t="s">
        <v>0</v>
      </c>
    </row>
    <row r="17" spans="1:8" ht="7.5" customHeight="1">
      <c r="A17" s="9"/>
      <c r="B17" s="8"/>
      <c r="C17" s="9"/>
      <c r="D17" s="9"/>
      <c r="E17" s="9"/>
      <c r="F17" s="9"/>
      <c r="G17" s="14"/>
      <c r="H17" s="10"/>
    </row>
    <row r="18" spans="1:8" ht="12.75">
      <c r="A18" s="15"/>
      <c r="B18" s="61" t="s">
        <v>17</v>
      </c>
      <c r="C18" s="58"/>
      <c r="D18" s="58"/>
      <c r="E18" s="58"/>
      <c r="F18" s="58"/>
      <c r="G18" s="13">
        <v>5</v>
      </c>
      <c r="H18" s="10" t="s">
        <v>0</v>
      </c>
    </row>
    <row r="19" spans="1:8" ht="7.5" customHeight="1">
      <c r="A19" s="9"/>
      <c r="B19" s="8"/>
      <c r="C19" s="9"/>
      <c r="D19" s="9"/>
      <c r="E19" s="9"/>
      <c r="F19" s="9"/>
      <c r="G19" s="14"/>
      <c r="H19" s="10"/>
    </row>
    <row r="20" spans="1:8" ht="12.75">
      <c r="A20" s="15"/>
      <c r="B20" s="61" t="s">
        <v>8</v>
      </c>
      <c r="C20" s="58"/>
      <c r="D20" s="58"/>
      <c r="E20" s="58"/>
      <c r="F20" s="58"/>
      <c r="G20" s="13">
        <v>20</v>
      </c>
      <c r="H20" s="10" t="s">
        <v>1</v>
      </c>
    </row>
    <row r="21" spans="1:8" ht="7.5" customHeight="1">
      <c r="A21" s="9"/>
      <c r="B21" s="8"/>
      <c r="C21" s="9"/>
      <c r="D21" s="9"/>
      <c r="E21" s="9"/>
      <c r="F21" s="9"/>
      <c r="G21" s="14"/>
      <c r="H21" s="10"/>
    </row>
    <row r="22" spans="1:8" ht="12.75" customHeight="1">
      <c r="A22" s="15"/>
      <c r="B22" s="64" t="s">
        <v>18</v>
      </c>
      <c r="C22" s="65"/>
      <c r="D22" s="65"/>
      <c r="E22" s="65"/>
      <c r="F22" s="65"/>
      <c r="G22" s="13">
        <v>56</v>
      </c>
      <c r="H22" s="10" t="s">
        <v>2</v>
      </c>
    </row>
    <row r="23" spans="1:8" ht="7.5" customHeight="1">
      <c r="A23" s="9"/>
      <c r="B23" s="8"/>
      <c r="C23" s="9"/>
      <c r="D23" s="9"/>
      <c r="E23" s="9"/>
      <c r="F23" s="9"/>
      <c r="G23" s="14"/>
      <c r="H23" s="10"/>
    </row>
    <row r="24" spans="1:8" ht="12.75">
      <c r="A24" s="15"/>
      <c r="B24" s="61" t="s">
        <v>26</v>
      </c>
      <c r="C24" s="58"/>
      <c r="D24" s="58"/>
      <c r="E24" s="58"/>
      <c r="F24" s="58"/>
      <c r="G24" s="46">
        <v>600</v>
      </c>
      <c r="H24" s="10" t="s">
        <v>0</v>
      </c>
    </row>
    <row r="25" spans="1:8" ht="7.5" customHeight="1">
      <c r="A25" s="9"/>
      <c r="B25" s="8"/>
      <c r="C25" s="9"/>
      <c r="D25" s="9"/>
      <c r="E25" s="9"/>
      <c r="F25" s="9"/>
      <c r="G25" s="14"/>
      <c r="H25" s="10"/>
    </row>
    <row r="26" spans="1:8" ht="12.75" customHeight="1">
      <c r="A26" s="15"/>
      <c r="B26" s="61" t="s">
        <v>27</v>
      </c>
      <c r="C26" s="58"/>
      <c r="D26" s="58"/>
      <c r="E26" s="58"/>
      <c r="F26" s="58"/>
      <c r="G26" s="46">
        <v>80</v>
      </c>
      <c r="H26" s="10" t="s">
        <v>10</v>
      </c>
    </row>
    <row r="27" spans="1:8" ht="7.5" customHeight="1">
      <c r="A27" s="15"/>
      <c r="B27" s="11"/>
      <c r="C27" s="12"/>
      <c r="D27" s="12"/>
      <c r="E27" s="12"/>
      <c r="F27" s="12"/>
      <c r="G27" s="46"/>
      <c r="H27" s="10"/>
    </row>
    <row r="28" spans="1:8" ht="12.75" customHeight="1">
      <c r="A28" s="15"/>
      <c r="B28" s="61" t="s">
        <v>36</v>
      </c>
      <c r="C28" s="58"/>
      <c r="D28" s="58"/>
      <c r="E28" s="58"/>
      <c r="F28" s="58"/>
      <c r="G28" s="46">
        <v>1.66</v>
      </c>
      <c r="H28" s="10"/>
    </row>
    <row r="29" spans="1:8" ht="10.5" customHeight="1" hidden="1">
      <c r="A29" s="15"/>
      <c r="B29" s="11"/>
      <c r="C29" s="12"/>
      <c r="D29" s="12"/>
      <c r="E29" s="12"/>
      <c r="F29" s="12"/>
      <c r="G29" s="39">
        <f>(BVdss1*Derat1/100-Vmaxin)/Kc</f>
        <v>63.25301204819277</v>
      </c>
      <c r="H29" s="10"/>
    </row>
    <row r="30" spans="1:8" ht="7.5" customHeight="1">
      <c r="A30" s="9"/>
      <c r="B30" s="8"/>
      <c r="C30" s="9"/>
      <c r="D30" s="9"/>
      <c r="E30" s="9"/>
      <c r="F30" s="9"/>
      <c r="G30" s="14"/>
      <c r="H30" s="10"/>
    </row>
    <row r="31" spans="1:8" ht="12.75">
      <c r="A31" s="15"/>
      <c r="B31" s="61" t="s">
        <v>16</v>
      </c>
      <c r="C31" s="58"/>
      <c r="D31" s="58"/>
      <c r="E31" s="58"/>
      <c r="F31" s="58"/>
      <c r="G31" s="13">
        <v>0.5</v>
      </c>
      <c r="H31" s="10" t="s">
        <v>0</v>
      </c>
    </row>
    <row r="32" spans="1:8" ht="7.5" customHeight="1">
      <c r="A32" s="9"/>
      <c r="B32" s="8"/>
      <c r="C32" s="9"/>
      <c r="D32" s="9"/>
      <c r="E32" s="9"/>
      <c r="F32" s="9"/>
      <c r="G32" s="14"/>
      <c r="H32" s="10"/>
    </row>
    <row r="33" spans="1:8" ht="12.75" customHeight="1">
      <c r="A33" s="15"/>
      <c r="B33" s="61" t="s">
        <v>9</v>
      </c>
      <c r="C33" s="58"/>
      <c r="D33" s="58"/>
      <c r="E33" s="58"/>
      <c r="F33" s="58"/>
      <c r="G33" s="13">
        <v>85</v>
      </c>
      <c r="H33" s="10" t="s">
        <v>10</v>
      </c>
    </row>
    <row r="34" spans="1:8" ht="7.5" customHeight="1">
      <c r="A34" s="9"/>
      <c r="B34" s="8"/>
      <c r="C34" s="9"/>
      <c r="D34" s="9"/>
      <c r="E34" s="9"/>
      <c r="F34" s="9"/>
      <c r="G34" s="9"/>
      <c r="H34" s="10"/>
    </row>
    <row r="35" spans="1:8" ht="12.75" customHeight="1">
      <c r="A35" s="15"/>
      <c r="B35" s="61" t="s">
        <v>21</v>
      </c>
      <c r="C35" s="58"/>
      <c r="D35" s="58"/>
      <c r="E35" s="58"/>
      <c r="F35" s="58"/>
      <c r="G35" s="13">
        <v>0.75</v>
      </c>
      <c r="H35" s="10" t="s">
        <v>0</v>
      </c>
    </row>
    <row r="36" spans="1:8" ht="7.5" customHeight="1">
      <c r="A36" s="9"/>
      <c r="B36" s="8"/>
      <c r="C36" s="9"/>
      <c r="D36" s="9"/>
      <c r="E36" s="9"/>
      <c r="F36" s="9"/>
      <c r="G36" s="15"/>
      <c r="H36" s="10"/>
    </row>
    <row r="37" spans="1:8" ht="12.75" hidden="1">
      <c r="A37" s="9"/>
      <c r="B37" s="8"/>
      <c r="C37" s="9"/>
      <c r="D37" s="9"/>
      <c r="E37" s="9"/>
      <c r="F37" s="16" t="b">
        <v>1</v>
      </c>
      <c r="G37" s="9"/>
      <c r="H37" s="10"/>
    </row>
    <row r="38" spans="1:8" ht="12.75">
      <c r="A38" s="9"/>
      <c r="B38" s="61" t="s">
        <v>19</v>
      </c>
      <c r="C38" s="58"/>
      <c r="D38" s="58"/>
      <c r="E38" s="58"/>
      <c r="F38" s="58"/>
      <c r="G38" s="14"/>
      <c r="H38" s="10"/>
    </row>
    <row r="39" spans="1:8" ht="7.5" customHeight="1">
      <c r="A39" s="9"/>
      <c r="B39" s="11"/>
      <c r="C39" s="12"/>
      <c r="D39" s="12"/>
      <c r="E39" s="12"/>
      <c r="F39" s="12"/>
      <c r="G39" s="14"/>
      <c r="H39" s="10"/>
    </row>
    <row r="40" spans="1:8" ht="12.75" customHeight="1">
      <c r="A40" s="9"/>
      <c r="B40" s="61" t="s">
        <v>24</v>
      </c>
      <c r="C40" s="58"/>
      <c r="D40" s="58"/>
      <c r="E40" s="58"/>
      <c r="F40" s="58"/>
      <c r="G40" s="13">
        <v>80</v>
      </c>
      <c r="H40" s="10" t="s">
        <v>10</v>
      </c>
    </row>
    <row r="41" spans="1:8" ht="7.5" customHeight="1" thickBot="1">
      <c r="A41" s="21"/>
      <c r="B41" s="17"/>
      <c r="C41" s="18"/>
      <c r="D41" s="18"/>
      <c r="E41" s="18"/>
      <c r="F41" s="18"/>
      <c r="G41" s="19">
        <v>0</v>
      </c>
      <c r="H41" s="20"/>
    </row>
    <row r="42" spans="1:8" ht="12.75">
      <c r="A42" s="3"/>
      <c r="B42" s="3"/>
      <c r="C42" s="3"/>
      <c r="D42" s="3"/>
      <c r="E42" s="3"/>
      <c r="F42" s="3"/>
      <c r="G42" s="4"/>
      <c r="H42" s="3"/>
    </row>
    <row r="43" spans="1:8" ht="12.75" customHeight="1">
      <c r="A43" s="3"/>
      <c r="D43" s="62" t="s">
        <v>4</v>
      </c>
      <c r="E43" s="62"/>
      <c r="F43" s="62"/>
      <c r="G43" s="4"/>
      <c r="H43" s="3"/>
    </row>
    <row r="44" spans="1:8" ht="13.5" customHeight="1" thickBot="1">
      <c r="A44" s="3"/>
      <c r="D44" s="63"/>
      <c r="E44" s="63"/>
      <c r="F44" s="63"/>
      <c r="G44" s="3"/>
      <c r="H44" s="3"/>
    </row>
    <row r="45" spans="1:8" ht="7.5" customHeight="1">
      <c r="A45" s="3"/>
      <c r="B45" s="38"/>
      <c r="C45" s="23"/>
      <c r="D45" s="24"/>
      <c r="E45" s="24"/>
      <c r="F45" s="24"/>
      <c r="G45" s="23"/>
      <c r="H45" s="25"/>
    </row>
    <row r="46" spans="2:8" ht="15.75">
      <c r="B46" s="59" t="str">
        <f>IF(CCM,"CCM allowed","DCM only")</f>
        <v>CCM allowed</v>
      </c>
      <c r="C46" s="60"/>
      <c r="D46" s="58" t="s">
        <v>6</v>
      </c>
      <c r="E46" s="58"/>
      <c r="F46" s="58"/>
      <c r="G46" s="27">
        <f>IF(((1000*(Vreflect1/(Vreflect1+Vminin))*Vminin)/((1000*(Vreflect1/(Vreflect1+Vminin))^2*Vminin^2/(2*Fmax1*(Pmax1*100/eff1)*(2*(pcpmax/100)-1)))*Q60))&lt;(2*(pcpmax/100)*Pmax1/((eff1/100)*(Vreflect1/(Vreflect1+Vminin))*Vminin)),"% of Pmax for",1000*(Vreflect1/(Vreflect1+Vminin))^2*Vminin^2/(2*Fmax1*(Pmax1*100/eff1)*(2*(pcpmax/100)-1)))</f>
        <v>949.422836018028</v>
      </c>
      <c r="H46" s="26" t="s">
        <v>11</v>
      </c>
    </row>
    <row r="47" spans="1:8" ht="7.5" customHeight="1">
      <c r="A47" s="3"/>
      <c r="B47" s="28"/>
      <c r="C47" s="9"/>
      <c r="D47" s="9"/>
      <c r="E47" s="9"/>
      <c r="F47" s="9"/>
      <c r="G47" s="37"/>
      <c r="H47" s="26"/>
    </row>
    <row r="48" spans="2:8" ht="12.75">
      <c r="B48" s="57" t="s">
        <v>7</v>
      </c>
      <c r="C48" s="58"/>
      <c r="D48" s="58"/>
      <c r="E48" s="58"/>
      <c r="F48" s="58"/>
      <c r="G48" s="30">
        <f>IF(ISTEXT(Lp1),"CCM too small",2*(pcpmax/100)*Pmax1/((eff1/100)*(Vreflect1/(Vreflect1+Vminin))*Vminin))</f>
        <v>0.9716526610644257</v>
      </c>
      <c r="H48" s="26" t="s">
        <v>12</v>
      </c>
    </row>
    <row r="49" spans="1:8" ht="7.5" customHeight="1">
      <c r="A49" s="3"/>
      <c r="B49" s="28"/>
      <c r="C49" s="9"/>
      <c r="D49" s="9"/>
      <c r="E49" s="9"/>
      <c r="F49" s="9"/>
      <c r="G49" s="29"/>
      <c r="H49" s="26"/>
    </row>
    <row r="50" spans="2:8" ht="12.75">
      <c r="B50" s="57" t="s">
        <v>37</v>
      </c>
      <c r="C50" s="58"/>
      <c r="D50" s="58"/>
      <c r="E50" s="58"/>
      <c r="F50" s="58"/>
      <c r="G50" s="48">
        <f>(Vout1+Vf1)/Vreflect1</f>
        <v>0.08695238095238095</v>
      </c>
      <c r="H50" s="26"/>
    </row>
    <row r="51" spans="1:8" ht="7.5" customHeight="1">
      <c r="A51" s="3"/>
      <c r="B51" s="28"/>
      <c r="C51" s="9"/>
      <c r="D51" s="9"/>
      <c r="E51" s="9"/>
      <c r="F51" s="9"/>
      <c r="G51" s="22"/>
      <c r="H51" s="26"/>
    </row>
    <row r="52" spans="2:8" ht="15.75">
      <c r="B52" s="57" t="s">
        <v>13</v>
      </c>
      <c r="C52" s="58"/>
      <c r="D52" s="58"/>
      <c r="E52" s="58"/>
      <c r="F52" s="58"/>
      <c r="G52" s="31">
        <f>(10/0.5)*((1000/Fmax1)-1)</f>
        <v>337.14285714285717</v>
      </c>
      <c r="H52" s="26" t="s">
        <v>14</v>
      </c>
    </row>
    <row r="53" spans="1:8" ht="7.5" customHeight="1">
      <c r="A53" s="3"/>
      <c r="B53" s="28"/>
      <c r="C53" s="9"/>
      <c r="D53" s="9"/>
      <c r="E53" s="9"/>
      <c r="F53" s="9"/>
      <c r="G53" s="9"/>
      <c r="H53" s="26"/>
    </row>
    <row r="54" spans="2:8" ht="14.25">
      <c r="B54" s="57" t="s">
        <v>20</v>
      </c>
      <c r="C54" s="58"/>
      <c r="D54" s="58"/>
      <c r="E54" s="58"/>
      <c r="F54" s="58"/>
      <c r="G54" s="30">
        <f>IF(ISTEXT(G48),"% of Pmax for",IF(Vcs1&gt;=0.36,Vcs1/G48,"Vcs too small"))</f>
        <v>0.7718807656826568</v>
      </c>
      <c r="H54" s="32" t="s">
        <v>1</v>
      </c>
    </row>
    <row r="55" spans="1:25" ht="7.5" customHeight="1">
      <c r="A55" s="3"/>
      <c r="B55" s="28"/>
      <c r="C55" s="9"/>
      <c r="D55" s="9"/>
      <c r="E55" s="9"/>
      <c r="F55" s="9"/>
      <c r="G55" s="37"/>
      <c r="H55" s="26"/>
      <c r="L55" s="56" t="s">
        <v>35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2:26" ht="15" customHeight="1">
      <c r="B56" s="57" t="s">
        <v>22</v>
      </c>
      <c r="C56" s="58"/>
      <c r="D56" s="58"/>
      <c r="E56" s="58"/>
      <c r="F56" s="58"/>
      <c r="G56" s="30">
        <f>IF(ISTEXT(G54),"CCM too small",IF(Vcs1&gt;=0.36,Vcs1/0.25,"Vcs too small"))</f>
        <v>3</v>
      </c>
      <c r="H56" s="33" t="s">
        <v>23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47"/>
    </row>
    <row r="57" spans="2:8" ht="7.5" customHeight="1" thickBot="1">
      <c r="B57" s="34"/>
      <c r="C57" s="35"/>
      <c r="D57" s="35"/>
      <c r="E57" s="35"/>
      <c r="F57" s="35"/>
      <c r="G57" s="35"/>
      <c r="H57" s="36"/>
    </row>
    <row r="59" spans="5:26" s="40" customFormat="1" ht="12.75">
      <c r="E59" s="42"/>
      <c r="F59" s="42"/>
      <c r="G59" s="42" t="s">
        <v>28</v>
      </c>
      <c r="H59" s="42"/>
      <c r="I59" s="43">
        <v>0</v>
      </c>
      <c r="J59" s="42">
        <v>2</v>
      </c>
      <c r="K59" s="42">
        <v>4</v>
      </c>
      <c r="L59" s="42">
        <v>6</v>
      </c>
      <c r="M59" s="42">
        <v>8</v>
      </c>
      <c r="N59" s="42">
        <v>10</v>
      </c>
      <c r="O59" s="42">
        <v>13</v>
      </c>
      <c r="P59" s="42">
        <v>16</v>
      </c>
      <c r="Q59" s="42">
        <v>20</v>
      </c>
      <c r="R59" s="42">
        <v>25</v>
      </c>
      <c r="S59" s="42">
        <v>30</v>
      </c>
      <c r="T59" s="42">
        <v>35</v>
      </c>
      <c r="U59" s="42">
        <v>40</v>
      </c>
      <c r="V59" s="42">
        <v>50</v>
      </c>
      <c r="W59" s="42">
        <v>60</v>
      </c>
      <c r="X59" s="42">
        <v>80</v>
      </c>
      <c r="Y59" s="42">
        <v>100</v>
      </c>
      <c r="Z59" s="52"/>
    </row>
    <row r="60" spans="5:26" s="40" customFormat="1" ht="12.75">
      <c r="E60" s="42"/>
      <c r="F60" s="42"/>
      <c r="G60" s="44" t="s">
        <v>30</v>
      </c>
      <c r="H60" s="42"/>
      <c r="I60" s="42">
        <f aca="true" t="shared" si="0" ref="I60:Y60">1000/(((I59*45/1000+0.5)*$G$52/10)+1)</f>
        <v>56</v>
      </c>
      <c r="J60" s="42">
        <f t="shared" si="0"/>
        <v>47.866520787746175</v>
      </c>
      <c r="K60" s="42">
        <f t="shared" si="0"/>
        <v>41.79603534750418</v>
      </c>
      <c r="L60" s="42">
        <f t="shared" si="0"/>
        <v>37.0919881305638</v>
      </c>
      <c r="M60" s="42">
        <f t="shared" si="0"/>
        <v>33.33968374928558</v>
      </c>
      <c r="N60" s="42">
        <f t="shared" si="0"/>
        <v>30.276816608996544</v>
      </c>
      <c r="O60" s="42">
        <f t="shared" si="0"/>
        <v>26.609898882384247</v>
      </c>
      <c r="P60" s="42">
        <f t="shared" si="0"/>
        <v>23.735250237352503</v>
      </c>
      <c r="Q60" s="42">
        <f t="shared" si="0"/>
        <v>20.746887966804977</v>
      </c>
      <c r="R60" s="42">
        <f t="shared" si="0"/>
        <v>17.925736235595387</v>
      </c>
      <c r="S60" s="42">
        <f t="shared" si="0"/>
        <v>15.779981965734894</v>
      </c>
      <c r="T60" s="42">
        <f t="shared" si="0"/>
        <v>14.09301389168512</v>
      </c>
      <c r="U60" s="42">
        <f t="shared" si="0"/>
        <v>12.731902510003637</v>
      </c>
      <c r="V60" s="42">
        <f t="shared" si="0"/>
        <v>10.670731707317072</v>
      </c>
      <c r="W60" s="42">
        <f t="shared" si="0"/>
        <v>9.183941222776173</v>
      </c>
      <c r="X60" s="42">
        <f t="shared" si="0"/>
        <v>7.182433819002668</v>
      </c>
      <c r="Y60" s="42">
        <f t="shared" si="0"/>
        <v>5.897219882055602</v>
      </c>
      <c r="Z60" s="52"/>
    </row>
    <row r="61" spans="5:26" s="40" customFormat="1" ht="12.75">
      <c r="E61" s="42"/>
      <c r="F61" s="42" t="s">
        <v>33</v>
      </c>
      <c r="G61" s="42" t="s">
        <v>29</v>
      </c>
      <c r="H61" s="42"/>
      <c r="I61" s="43">
        <f>G48+0.2*Vminin/Lp1</f>
        <v>0.9927180907563025</v>
      </c>
      <c r="J61" s="43">
        <f>G48+0.2*Vminin/Lp1</f>
        <v>0.9927180907563025</v>
      </c>
      <c r="K61" s="43">
        <f>G48+0.2*Vminin/Lp1</f>
        <v>0.9927180907563025</v>
      </c>
      <c r="L61" s="43">
        <f>G48+0.2*Vminin/Lp1</f>
        <v>0.9927180907563025</v>
      </c>
      <c r="M61" s="43">
        <f>G48+0.2*Vminin/Lp1</f>
        <v>0.9927180907563025</v>
      </c>
      <c r="N61" s="43">
        <f>G48+0.2*Vminin/Lp1</f>
        <v>0.9927180907563025</v>
      </c>
      <c r="O61" s="43">
        <f>G48+0.2*Vminin/Lp1</f>
        <v>0.9927180907563025</v>
      </c>
      <c r="P61" s="43">
        <f>G48+0.2*Vminin/Lp1</f>
        <v>0.9927180907563025</v>
      </c>
      <c r="Q61" s="43">
        <f>G48+0.2*Vminin/Lp1</f>
        <v>0.9927180907563025</v>
      </c>
      <c r="R61" s="43">
        <f>0.82*G48+0.2*Vminin/Lp1</f>
        <v>0.8178206117647058</v>
      </c>
      <c r="S61" s="42">
        <f>0.64*G48+0.2*Vminin/Lp1</f>
        <v>0.6429231327731092</v>
      </c>
      <c r="T61" s="42">
        <f>0.46*G48+0.2*Vminin/Lp1</f>
        <v>0.4680256537815126</v>
      </c>
      <c r="U61" s="42">
        <f>0.28*G48+0.2*Vminin/Lp1</f>
        <v>0.293128174789916</v>
      </c>
      <c r="V61" s="42">
        <f>0.28*G48+0.2*Vminin/Lp1</f>
        <v>0.293128174789916</v>
      </c>
      <c r="W61" s="42">
        <f>0.28*G48+0.2*Vminin/Lp1</f>
        <v>0.293128174789916</v>
      </c>
      <c r="X61" s="42">
        <f>0.28*G48+0.2*Vminin/Lp1</f>
        <v>0.293128174789916</v>
      </c>
      <c r="Y61" s="42">
        <f>0.28*G48+0.2*Vminin/Lp1</f>
        <v>0.293128174789916</v>
      </c>
      <c r="Z61" s="52"/>
    </row>
    <row r="62" spans="5:26" s="40" customFormat="1" ht="12.75">
      <c r="E62" s="42"/>
      <c r="F62" s="42" t="s">
        <v>33</v>
      </c>
      <c r="G62" s="44" t="s">
        <v>32</v>
      </c>
      <c r="H62" s="42"/>
      <c r="I62" s="43">
        <f aca="true" t="shared" si="1" ref="I62:Y62">IF((I61-((1000*(Vreflect1/(Vreflect1+Vminin))*Vminin)/(Lp1*I60)))&gt;=0,I61-((1000*(Vreflect1/(Vreflect1+Vminin))*Vminin)/(Lp1*I60)),0)</f>
        <v>0.2639785949579829</v>
      </c>
      <c r="J62" s="43">
        <f t="shared" si="1"/>
        <v>0.1401511798319326</v>
      </c>
      <c r="K62" s="43">
        <f t="shared" si="1"/>
        <v>0.016323764705882038</v>
      </c>
      <c r="L62" s="43">
        <f t="shared" si="1"/>
        <v>0</v>
      </c>
      <c r="M62" s="43">
        <f t="shared" si="1"/>
        <v>0</v>
      </c>
      <c r="N62" s="43">
        <f t="shared" si="1"/>
        <v>0</v>
      </c>
      <c r="O62" s="43">
        <f t="shared" si="1"/>
        <v>0</v>
      </c>
      <c r="P62" s="43">
        <f t="shared" si="1"/>
        <v>0</v>
      </c>
      <c r="Q62" s="43">
        <f t="shared" si="1"/>
        <v>0</v>
      </c>
      <c r="R62" s="43">
        <f t="shared" si="1"/>
        <v>0</v>
      </c>
      <c r="S62" s="43">
        <f t="shared" si="1"/>
        <v>0</v>
      </c>
      <c r="T62" s="43">
        <f t="shared" si="1"/>
        <v>0</v>
      </c>
      <c r="U62" s="43">
        <f t="shared" si="1"/>
        <v>0</v>
      </c>
      <c r="V62" s="43">
        <f t="shared" si="1"/>
        <v>0</v>
      </c>
      <c r="W62" s="43">
        <f t="shared" si="1"/>
        <v>0</v>
      </c>
      <c r="X62" s="43">
        <f t="shared" si="1"/>
        <v>0</v>
      </c>
      <c r="Y62" s="43">
        <f t="shared" si="1"/>
        <v>0</v>
      </c>
      <c r="Z62" s="52"/>
    </row>
    <row r="63" spans="5:26" s="40" customFormat="1" ht="12.75">
      <c r="E63" s="42"/>
      <c r="F63" s="42" t="s">
        <v>33</v>
      </c>
      <c r="G63" s="44" t="s">
        <v>31</v>
      </c>
      <c r="H63" s="42"/>
      <c r="I63" s="42">
        <f aca="true" t="shared" si="2" ref="I63:Y63">0.5*Lp1*(I61^2-I62^2)*I60*eff1*0.00001</f>
        <v>20.69376</v>
      </c>
      <c r="J63" s="42">
        <f t="shared" si="2"/>
        <v>18.65472</v>
      </c>
      <c r="K63" s="42">
        <f t="shared" si="2"/>
        <v>16.615679999999998</v>
      </c>
      <c r="L63" s="42">
        <f t="shared" si="2"/>
        <v>14.749611733785501</v>
      </c>
      <c r="M63" s="42">
        <f t="shared" si="2"/>
        <v>13.257509651362161</v>
      </c>
      <c r="N63" s="42">
        <f t="shared" si="2"/>
        <v>12.039561965397922</v>
      </c>
      <c r="O63" s="42">
        <f t="shared" si="2"/>
        <v>10.581413846270811</v>
      </c>
      <c r="P63" s="42">
        <f t="shared" si="2"/>
        <v>9.43831115692391</v>
      </c>
      <c r="Q63" s="42">
        <f t="shared" si="2"/>
        <v>8.249990297569648</v>
      </c>
      <c r="R63" s="42">
        <f t="shared" si="2"/>
        <v>4.837730925480153</v>
      </c>
      <c r="S63" s="42">
        <f t="shared" si="2"/>
        <v>2.6319231884580696</v>
      </c>
      <c r="T63" s="42">
        <f t="shared" si="2"/>
        <v>1.2456378626937787</v>
      </c>
      <c r="U63" s="42">
        <f t="shared" si="2"/>
        <v>0.4414251116769735</v>
      </c>
      <c r="V63" s="42">
        <f t="shared" si="2"/>
        <v>0.3699626926829268</v>
      </c>
      <c r="W63" s="42">
        <f t="shared" si="2"/>
        <v>0.3184144927840462</v>
      </c>
      <c r="X63" s="42">
        <f t="shared" si="2"/>
        <v>0.24902065093371645</v>
      </c>
      <c r="Y63" s="42">
        <f t="shared" si="2"/>
        <v>0.2044612690817186</v>
      </c>
      <c r="Z63" s="52"/>
    </row>
    <row r="64" spans="5:26" s="40" customFormat="1" ht="12.75">
      <c r="E64" s="42"/>
      <c r="F64" s="42" t="s">
        <v>34</v>
      </c>
      <c r="G64" s="44" t="s">
        <v>29</v>
      </c>
      <c r="H64" s="42"/>
      <c r="I64" s="42">
        <f aca="true" t="shared" si="3" ref="I64:Q64">$G48+0.2*Vmaxin/Lp1</f>
        <v>1.0506480224089636</v>
      </c>
      <c r="J64" s="42">
        <f t="shared" si="3"/>
        <v>1.0506480224089636</v>
      </c>
      <c r="K64" s="42">
        <f t="shared" si="3"/>
        <v>1.0506480224089636</v>
      </c>
      <c r="L64" s="42">
        <f t="shared" si="3"/>
        <v>1.0506480224089636</v>
      </c>
      <c r="M64" s="42">
        <f t="shared" si="3"/>
        <v>1.0506480224089636</v>
      </c>
      <c r="N64" s="42">
        <f t="shared" si="3"/>
        <v>1.0506480224089636</v>
      </c>
      <c r="O64" s="42">
        <f t="shared" si="3"/>
        <v>1.0506480224089636</v>
      </c>
      <c r="P64" s="42">
        <f t="shared" si="3"/>
        <v>1.0506480224089636</v>
      </c>
      <c r="Q64" s="42">
        <f t="shared" si="3"/>
        <v>1.0506480224089636</v>
      </c>
      <c r="R64" s="42">
        <f>0.82*$G48+0.2*Vmaxin/Lp1</f>
        <v>0.8757505434173669</v>
      </c>
      <c r="S64" s="42">
        <f>0.64*$G48+0.2*Vmaxin/Lp1</f>
        <v>0.7008530644257702</v>
      </c>
      <c r="T64" s="42">
        <f>0.46*$G48+0.2*Vmaxin/Lp1</f>
        <v>0.5259555854341738</v>
      </c>
      <c r="U64" s="42">
        <f>0.28*$G48+0.2*Vmaxin/Lp1</f>
        <v>0.35105810644257707</v>
      </c>
      <c r="V64" s="42">
        <f>0.28*$G48+0.2*Vmaxin/Lp1</f>
        <v>0.35105810644257707</v>
      </c>
      <c r="W64" s="42">
        <f>0.28*$G48+0.2*Vmaxin/Lp1</f>
        <v>0.35105810644257707</v>
      </c>
      <c r="X64" s="42">
        <f>0.28*$G48+0.2*Vmaxin/Lp1</f>
        <v>0.35105810644257707</v>
      </c>
      <c r="Y64" s="42">
        <f>0.28*$G48+0.2*Vmaxin/Lp1</f>
        <v>0.35105810644257707</v>
      </c>
      <c r="Z64" s="52"/>
    </row>
    <row r="65" spans="5:26" s="40" customFormat="1" ht="12.75">
      <c r="E65" s="42"/>
      <c r="F65" s="42" t="s">
        <v>34</v>
      </c>
      <c r="G65" s="44" t="s">
        <v>32</v>
      </c>
      <c r="H65" s="42"/>
      <c r="I65" s="42">
        <f aca="true" t="shared" si="4" ref="I65:Y65">IF((I64-((1000*(Vreflect1/(Vreflect1+Vmaxin))*Vmaxin)/(Lp1*I60)))&gt;=0,I64-((1000*(Vreflect1/(Vreflect1+Vmaxin))*Vmaxin)/(Lp1*I60)),0)</f>
        <v>0.032666561783476045</v>
      </c>
      <c r="J65" s="42">
        <f t="shared" si="4"/>
        <v>0</v>
      </c>
      <c r="K65" s="42">
        <f t="shared" si="4"/>
        <v>0</v>
      </c>
      <c r="L65" s="42">
        <f t="shared" si="4"/>
        <v>0</v>
      </c>
      <c r="M65" s="42">
        <f t="shared" si="4"/>
        <v>0</v>
      </c>
      <c r="N65" s="42">
        <f t="shared" si="4"/>
        <v>0</v>
      </c>
      <c r="O65" s="42">
        <f t="shared" si="4"/>
        <v>0</v>
      </c>
      <c r="P65" s="42">
        <f t="shared" si="4"/>
        <v>0</v>
      </c>
      <c r="Q65" s="42">
        <f t="shared" si="4"/>
        <v>0</v>
      </c>
      <c r="R65" s="42">
        <f t="shared" si="4"/>
        <v>0</v>
      </c>
      <c r="S65" s="42">
        <f t="shared" si="4"/>
        <v>0</v>
      </c>
      <c r="T65" s="42">
        <f t="shared" si="4"/>
        <v>0</v>
      </c>
      <c r="U65" s="42">
        <f t="shared" si="4"/>
        <v>0</v>
      </c>
      <c r="V65" s="42">
        <f t="shared" si="4"/>
        <v>0</v>
      </c>
      <c r="W65" s="42">
        <f t="shared" si="4"/>
        <v>0</v>
      </c>
      <c r="X65" s="42">
        <f t="shared" si="4"/>
        <v>0</v>
      </c>
      <c r="Y65" s="42">
        <f t="shared" si="4"/>
        <v>0</v>
      </c>
      <c r="Z65" s="52"/>
    </row>
    <row r="66" spans="5:26" s="40" customFormat="1" ht="12.75">
      <c r="E66" s="42"/>
      <c r="F66" s="42" t="s">
        <v>34</v>
      </c>
      <c r="G66" s="44" t="s">
        <v>31</v>
      </c>
      <c r="H66" s="42"/>
      <c r="I66" s="42">
        <f aca="true" t="shared" si="5" ref="I66:Y66">0.5*Lp1*(I64^2-I65^2)*I60*eff1*0.00001</f>
        <v>24.919027484323525</v>
      </c>
      <c r="J66" s="42">
        <f t="shared" si="5"/>
        <v>21.320380926331147</v>
      </c>
      <c r="K66" s="42">
        <f t="shared" si="5"/>
        <v>18.616506488336917</v>
      </c>
      <c r="L66" s="42">
        <f t="shared" si="5"/>
        <v>16.52126169280769</v>
      </c>
      <c r="M66" s="42">
        <f t="shared" si="5"/>
        <v>14.849935733790565</v>
      </c>
      <c r="N66" s="42">
        <f t="shared" si="5"/>
        <v>13.485694232987315</v>
      </c>
      <c r="O66" s="42">
        <f t="shared" si="5"/>
        <v>11.852400618363365</v>
      </c>
      <c r="P66" s="42">
        <f t="shared" si="5"/>
        <v>10.571994122699943</v>
      </c>
      <c r="Q66" s="42">
        <f t="shared" si="5"/>
        <v>9.240938075479155</v>
      </c>
      <c r="R66" s="42">
        <f t="shared" si="5"/>
        <v>5.547361092616303</v>
      </c>
      <c r="S66" s="42">
        <f t="shared" si="5"/>
        <v>3.1275845506462265</v>
      </c>
      <c r="T66" s="42">
        <f t="shared" si="5"/>
        <v>1.5730793369572516</v>
      </c>
      <c r="U66" s="42">
        <f t="shared" si="5"/>
        <v>0.6331402449375532</v>
      </c>
      <c r="V66" s="42">
        <f t="shared" si="5"/>
        <v>0.5306410162601626</v>
      </c>
      <c r="W66" s="42">
        <f t="shared" si="5"/>
        <v>0.45670494183503896</v>
      </c>
      <c r="X66" s="42">
        <f t="shared" si="5"/>
        <v>0.3571726930706615</v>
      </c>
      <c r="Y66" s="42">
        <f t="shared" si="5"/>
        <v>0.29326074698118504</v>
      </c>
      <c r="Z66" s="52"/>
    </row>
    <row r="67" spans="5:26" s="40" customFormat="1" ht="12.75">
      <c r="E67" s="42"/>
      <c r="F67" s="42"/>
      <c r="G67" s="42"/>
      <c r="H67" s="44"/>
      <c r="I67" s="42">
        <f>IF(((1000*(Vreflect1/(Vreflect1+Vmaxin))*Vmaxin)/(Lp1*$I$64))&lt;=Fmax1,0.5*Lp1*$I$64^2*$I$68*eff1*0.00001,5)</f>
        <v>24.167612371134023</v>
      </c>
      <c r="J67" s="42">
        <f>IF(((1000*(Vreflect1/(Vreflect1+Vminin))*Vminin)/(Lp1*$I$61))&lt;=Fmax1,0.5*Lp1*$I$61^2*$J$68*eff1*0.00001,5)</f>
        <v>16.346880000000002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52"/>
    </row>
    <row r="68" spans="5:26" s="40" customFormat="1" ht="12.75">
      <c r="E68" s="42"/>
      <c r="F68" s="42"/>
      <c r="G68" s="42"/>
      <c r="H68" s="42"/>
      <c r="I68" s="42">
        <f>IF(((1000*(Vreflect1/(Vreflect1+Vmaxin))*Vmaxin)/(Lp1*$I$64))&lt;=Fmax1,(1000*(Vreflect1/(Vreflect1+Vmaxin))*Vmaxin)/(Lp1*$I$64),0)</f>
        <v>54.25885794209148</v>
      </c>
      <c r="J68" s="42">
        <f>IF(((1000*(Vreflect1/(Vreflect1+Vminin))*Vminin)/(Lp1*$I$61))&lt;=Fmax1,(1000*(Vreflect1/(Vreflect1+Vminin))*Vminin)/(Lp1*$I$61),0)</f>
        <v>41.10876203899461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52"/>
    </row>
    <row r="69" s="40" customFormat="1" ht="12.75"/>
    <row r="70" spans="10:25" ht="12.75"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</sheetData>
  <sheetProtection selectLockedCells="1"/>
  <mergeCells count="27">
    <mergeCell ref="A6:J7"/>
    <mergeCell ref="A8:J9"/>
    <mergeCell ref="F4:H5"/>
    <mergeCell ref="B2:I3"/>
    <mergeCell ref="D11:F12"/>
    <mergeCell ref="B14:F14"/>
    <mergeCell ref="B18:F18"/>
    <mergeCell ref="B20:F20"/>
    <mergeCell ref="B22:F22"/>
    <mergeCell ref="B16:F16"/>
    <mergeCell ref="B38:F38"/>
    <mergeCell ref="B35:F35"/>
    <mergeCell ref="B28:F28"/>
    <mergeCell ref="B31:F31"/>
    <mergeCell ref="B33:F33"/>
    <mergeCell ref="B24:F24"/>
    <mergeCell ref="B26:F26"/>
    <mergeCell ref="B40:F40"/>
    <mergeCell ref="B48:F48"/>
    <mergeCell ref="B50:F50"/>
    <mergeCell ref="D43:F44"/>
    <mergeCell ref="D46:F46"/>
    <mergeCell ref="L55:Y56"/>
    <mergeCell ref="B54:F54"/>
    <mergeCell ref="B56:F56"/>
    <mergeCell ref="B46:C46"/>
    <mergeCell ref="B52:F52"/>
  </mergeCells>
  <conditionalFormatting sqref="G46">
    <cfRule type="cellIs" priority="1" dxfId="0" operator="equal" stopIfTrue="1">
      <formula>"% of Pmax for"</formula>
    </cfRule>
  </conditionalFormatting>
  <conditionalFormatting sqref="G48">
    <cfRule type="cellIs" priority="2" dxfId="0" operator="equal" stopIfTrue="1">
      <formula>"CCM too small"</formula>
    </cfRule>
  </conditionalFormatting>
  <conditionalFormatting sqref="G54">
    <cfRule type="cellIs" priority="3" dxfId="0" operator="equal" stopIfTrue="1">
      <formula>"Vcs too small"</formula>
    </cfRule>
    <cfRule type="cellIs" priority="4" dxfId="0" operator="equal" stopIfTrue="1">
      <formula>"% of Pmax for"</formula>
    </cfRule>
  </conditionalFormatting>
  <conditionalFormatting sqref="G56">
    <cfRule type="cellIs" priority="5" dxfId="0" operator="equal" stopIfTrue="1">
      <formula>"Vcs too small"</formula>
    </cfRule>
    <cfRule type="cellIs" priority="6" dxfId="0" operator="equal" stopIfTrue="1">
      <formula>"CCM too small"</formula>
    </cfRule>
  </conditionalFormatting>
  <printOptions/>
  <pageMargins left="0.75" right="0.75" top="0.66" bottom="0.59" header="0.4" footer="0.37"/>
  <pageSetup horizontalDpi="600" verticalDpi="600" orientation="portrait" r:id="rId2"/>
  <headerFooter alignWithMargins="0">
    <oddHeader>&amp;C&amp;F</oddHeader>
    <oddFooter>&amp;LRev 1.2 / Nov. 2006&amp;CPrepared by N. CYR&amp;RPage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ffb7dx</dc:creator>
  <cp:keywords/>
  <dc:description/>
  <cp:lastModifiedBy>ON Semiconductor</cp:lastModifiedBy>
  <cp:lastPrinted>2006-12-05T00:10:11Z</cp:lastPrinted>
  <dcterms:created xsi:type="dcterms:W3CDTF">2006-02-08T15:23:21Z</dcterms:created>
  <dcterms:modified xsi:type="dcterms:W3CDTF">2006-12-05T00:11:12Z</dcterms:modified>
  <cp:category/>
  <cp:version/>
  <cp:contentType/>
  <cp:contentStatus/>
</cp:coreProperties>
</file>