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3365" activeTab="0"/>
  </bookViews>
  <sheets>
    <sheet name="Step 1 Calculations " sheetId="1" r:id="rId1"/>
    <sheet name="Graph from Step 1" sheetId="2" r:id="rId2"/>
    <sheet name="Step 2 turns ratio" sheetId="3" r:id="rId3"/>
  </sheets>
  <definedNames>
    <definedName name="Vf">'Step 2 turns ratio'!$B$17</definedName>
    <definedName name="vow">'Step 2 turns ratio'!$B$20</definedName>
  </definedNames>
  <calcPr fullCalcOnLoad="1"/>
</workbook>
</file>

<file path=xl/comments1.xml><?xml version="1.0" encoding="utf-8"?>
<comments xmlns="http://schemas.openxmlformats.org/spreadsheetml/2006/main">
  <authors>
    <author>Totof</author>
    <author>ON Semiconductor</author>
  </authors>
  <commentList>
    <comment ref="B18" authorId="0">
      <text>
        <r>
          <rPr>
            <sz val="8"/>
            <rFont val="Tahoma"/>
            <family val="2"/>
          </rPr>
          <t xml:space="preserve">The flyback voltage applied over Lp at the switch opening
</t>
        </r>
      </text>
    </comment>
    <comment ref="B6" authorId="0">
      <text>
        <r>
          <rPr>
            <sz val="8"/>
            <rFont val="Tahoma"/>
            <family val="2"/>
          </rPr>
          <t xml:space="preserve">The maximum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 xml:space="preserve">The minimum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</text>
    </comment>
    <comment ref="B14" authorId="0">
      <text>
        <r>
          <rPr>
            <sz val="8"/>
            <rFont val="Tahoma"/>
            <family val="2"/>
          </rPr>
          <t>The minimum frequency in worse case conditions (low line, max output power). Select this value to be at least above 20kHz.</t>
        </r>
      </text>
    </comment>
    <comment ref="B15" authorId="0">
      <text>
        <r>
          <rPr>
            <sz val="8"/>
            <rFont val="Tahoma"/>
            <family val="2"/>
          </rPr>
          <t>The primary to secondary turn ratio.</t>
        </r>
      </text>
    </comment>
    <comment ref="B20" authorId="0">
      <text>
        <r>
          <rPr>
            <sz val="8"/>
            <rFont val="Tahoma"/>
            <family val="2"/>
          </rPr>
          <t>This is the worse case estimated peak current calculated without any parasitic elements around the drain node (e.g. leakage inductance and capacitance)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2"/>
          </rPr>
          <t>To cope with the minimum frequency value, the inductance shall not go above this value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At the switch opening, a sinusoidal waveform takes place on the drain node, involving the primary inductance Lp and all parasitic capacitors. The valleys on this wave are places where the controller re-starts the MOSFET for so-called QR operation.</t>
        </r>
      </text>
    </comment>
    <comment ref="B31" authorId="0">
      <text>
        <r>
          <rPr>
            <sz val="8"/>
            <rFont val="Tahoma"/>
            <family val="0"/>
          </rPr>
          <t xml:space="preserve">When the core is reset, the first valley occurs after this time has elapsed.
</t>
        </r>
      </text>
    </comment>
    <comment ref="B32" authorId="0">
      <text>
        <r>
          <rPr>
            <sz val="8"/>
            <rFont val="Tahoma"/>
            <family val="2"/>
          </rPr>
          <t>In high line conditions, the frequency increases. This value includes the valley event.</t>
        </r>
      </text>
    </comment>
    <comment ref="B16" authorId="0">
      <text>
        <r>
          <rPr>
            <sz val="8"/>
            <rFont val="Tahoma"/>
            <family val="2"/>
          </rPr>
          <t>Enter a capacitor value to have any idea of the natural ringing frequency involving Lp</t>
        </r>
      </text>
    </comment>
    <comment ref="D30" authorId="1">
      <text>
        <r>
          <rPr>
            <b/>
            <sz val="8"/>
            <rFont val="Tahoma"/>
            <family val="0"/>
          </rPr>
          <t>Fprim, involving Lp, needs to be higher than the TIMEOUT imposed by the controller (4µs), otherwise this TIMEOUT re-starts the switch instead of the valley occurrence (which takes place later) and ZVS is not perfectly ensured.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sz val="8"/>
            <rFont val="Tahoma"/>
            <family val="2"/>
          </rPr>
          <t xml:space="preserve">This the reverse voltage seen by the sec. diode at turn-on </t>
        </r>
        <r>
          <rPr>
            <sz val="8"/>
            <rFont val="Tahoma"/>
            <family val="0"/>
          </rPr>
          <t>(high line).</t>
        </r>
      </text>
    </comment>
  </commentList>
</comments>
</file>

<file path=xl/comments3.xml><?xml version="1.0" encoding="utf-8"?>
<comments xmlns="http://schemas.openxmlformats.org/spreadsheetml/2006/main">
  <authors>
    <author>Thierry Sutto</author>
  </authors>
  <commentList>
    <comment ref="A17" authorId="0">
      <text>
        <r>
          <rPr>
            <b/>
            <sz val="8"/>
            <rFont val="Tahoma"/>
            <family val="0"/>
          </rPr>
          <t>Thierry Sutto:</t>
        </r>
        <r>
          <rPr>
            <sz val="8"/>
            <rFont val="Tahoma"/>
            <family val="0"/>
          </rPr>
          <t xml:space="preserve">
Forward voltage of the secondary diodes</t>
        </r>
      </text>
    </comment>
  </commentList>
</comments>
</file>

<file path=xl/sharedStrings.xml><?xml version="1.0" encoding="utf-8"?>
<sst xmlns="http://schemas.openxmlformats.org/spreadsheetml/2006/main" count="122" uniqueCount="85">
  <si>
    <t>Christophe Basso</t>
  </si>
  <si>
    <t>ON Semiconductor</t>
  </si>
  <si>
    <r>
      <t>Maximum</t>
    </r>
    <r>
      <rPr>
        <sz val="10"/>
        <rFont val="Arial"/>
        <family val="0"/>
      </rPr>
      <t xml:space="preserve"> DC Input voltage</t>
    </r>
  </si>
  <si>
    <r>
      <t>Minimum</t>
    </r>
    <r>
      <rPr>
        <sz val="10"/>
        <rFont val="Arial"/>
        <family val="0"/>
      </rPr>
      <t xml:space="preserve"> DC Input voltage</t>
    </r>
  </si>
  <si>
    <t>Nominal output power</t>
  </si>
  <si>
    <t>V</t>
  </si>
  <si>
    <t>W</t>
  </si>
  <si>
    <t>Output voltage</t>
  </si>
  <si>
    <t>Equivalent load</t>
  </si>
  <si>
    <t>Ohms</t>
  </si>
  <si>
    <t>Equivalent current</t>
  </si>
  <si>
    <t>Amps</t>
  </si>
  <si>
    <t>Low line</t>
  </si>
  <si>
    <t>High line</t>
  </si>
  <si>
    <t>kHz</t>
  </si>
  <si>
    <t>Estimated efficiency</t>
  </si>
  <si>
    <t>%</t>
  </si>
  <si>
    <t>Secondary rectifier drop @ Iout</t>
  </si>
  <si>
    <t>A</t>
  </si>
  <si>
    <t>Primary reflected voltage at the switch opening</t>
  </si>
  <si>
    <t>Min. switching frequency @ low line &amp; nom. Power</t>
  </si>
  <si>
    <t>mH</t>
  </si>
  <si>
    <r>
      <t xml:space="preserve">Primary inductance shall be </t>
    </r>
    <r>
      <rPr>
        <b/>
        <i/>
        <sz val="10"/>
        <color indexed="52"/>
        <rFont val="Arial"/>
        <family val="2"/>
      </rPr>
      <t>smaller</t>
    </r>
    <r>
      <rPr>
        <sz val="10"/>
        <rFont val="Arial"/>
        <family val="0"/>
      </rPr>
      <t xml:space="preserve"> than:</t>
    </r>
  </si>
  <si>
    <t xml:space="preserve">Estimated total drain capacitance </t>
  </si>
  <si>
    <t>pF</t>
  </si>
  <si>
    <t>Natural ringing frequency involving Lp and Cpar</t>
  </si>
  <si>
    <t>Cpar</t>
  </si>
  <si>
    <t>Lp</t>
  </si>
  <si>
    <t>Ip max</t>
  </si>
  <si>
    <t>Valley occurrence at DCM detection</t>
  </si>
  <si>
    <t>µs</t>
  </si>
  <si>
    <t>&gt; 250kHz</t>
  </si>
  <si>
    <t>Comments</t>
  </si>
  <si>
    <r>
      <t xml:space="preserve">Estimated peak current @ </t>
    </r>
    <r>
      <rPr>
        <b/>
        <sz val="10"/>
        <color indexed="52"/>
        <rFont val="Arial"/>
        <family val="2"/>
      </rPr>
      <t>low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</si>
  <si>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t>low line</t>
  </si>
  <si>
    <t>high line</t>
  </si>
  <si>
    <r>
      <t xml:space="preserve">Estimated peak current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</si>
  <si>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r>
      <t xml:space="preserve">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 to reach Ip</t>
    </r>
  </si>
  <si>
    <r>
      <t xml:space="preserve">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to reach Ip</t>
    </r>
  </si>
  <si>
    <r>
      <t xml:space="preserve">Demagnetization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</t>
    </r>
  </si>
  <si>
    <r>
      <t xml:space="preserve">Demagnetization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</t>
    </r>
  </si>
  <si>
    <t>Simplified Inductor calculation Spreadsheet for QR-based converters</t>
  </si>
  <si>
    <t>DC Input</t>
  </si>
  <si>
    <t>Peak current</t>
  </si>
  <si>
    <t>Frequency</t>
  </si>
  <si>
    <r>
      <t xml:space="preserve">Please enter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0"/>
      </rPr>
      <t xml:space="preserve"> numbers</t>
    </r>
  </si>
  <si>
    <t>Estimated Fsw at high line including Valley switching</t>
  </si>
  <si>
    <t>Final Transmitted power</t>
  </si>
  <si>
    <r>
      <t xml:space="preserve">Estimated drain-source voltage at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without clamp</t>
    </r>
  </si>
  <si>
    <t>Estimated leakage percentage</t>
  </si>
  <si>
    <t>Primary leakage inductance, xx % of Lp</t>
  </si>
  <si>
    <t>µH</t>
  </si>
  <si>
    <t>Lf</t>
  </si>
  <si>
    <t>Secondary diode peak inverse voltage (PIV)</t>
  </si>
  <si>
    <t>Turn-ratio Ns:Np</t>
  </si>
  <si>
    <t>Vf</t>
  </si>
  <si>
    <t>Output voltages and peak power levels</t>
  </si>
  <si>
    <t>Pox (W)</t>
  </si>
  <si>
    <t>Uox (V)</t>
  </si>
  <si>
    <t>Note</t>
  </si>
  <si>
    <t>Used for primary regulation</t>
  </si>
  <si>
    <t>Secondary reg</t>
  </si>
  <si>
    <t>-</t>
  </si>
  <si>
    <t>Negative output voltage</t>
  </si>
  <si>
    <t>Total output power</t>
  </si>
  <si>
    <t>Volts per
winding</t>
  </si>
  <si>
    <t>Volts/turn</t>
  </si>
  <si>
    <t>turns</t>
  </si>
  <si>
    <t>Theorical turns ratio for all outputs</t>
  </si>
  <si>
    <t>ns_5V</t>
  </si>
  <si>
    <t>ns_3V3</t>
  </si>
  <si>
    <t>ns_2V5</t>
  </si>
  <si>
    <t>ns_13V</t>
  </si>
  <si>
    <t>ns_-5V</t>
  </si>
  <si>
    <t>Turns selection:</t>
  </si>
  <si>
    <t>With the final selected secondary turns the output voltage level will be:</t>
  </si>
  <si>
    <t>Ouput voltage level with the selected turn ratio (V)</t>
  </si>
  <si>
    <t xml:space="preserve">Uox desired (V) </t>
  </si>
  <si>
    <t>Output delta V</t>
  </si>
  <si>
    <t>Note: the 3V3 and 2V5 outputs are post regulated by the NCP4326, so they need to have positive difference voltage compare to the disered output voltage level to ensure a correct regulation in case of load and input line variation.</t>
  </si>
  <si>
    <t>Transformer turns ratio determination with a multiple output flyback</t>
  </si>
  <si>
    <t>Thierry Sutto</t>
  </si>
  <si>
    <t>Rev 0</t>
  </si>
  <si>
    <t>Note : As it is not possible to do a partial turn in transformer winding, the entire number just above or below should be selected, and the new voltage winding should be checked to fit the final regulation voltage level.</t>
  </si>
  <si>
    <t>Rev.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</si>
</sst>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0.000"/>
    <numFmt numFmtId="175" formatCode="0.0E+00"/>
    <numFmt numFmtId="176" formatCode="0.0000000"/>
    <numFmt numFmtId="177" formatCode="0.000000"/>
    <numFmt numFmtId="178" formatCode="0.00000"/>
    <numFmt numFmtId="179" formatCode="0.00000000"/>
  </numFmts>
  <fonts count="16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172" fontId="11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1" fontId="14" fillId="0" borderId="0" xfId="19" applyNumberFormat="1" applyFont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0" fontId="1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4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&amp; Peak current versus DC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1"/>
          <c:tx>
            <c:strRef>
              <c:f>'Step 1 Calculations '!$J$4</c:f>
              <c:strCache>
                <c:ptCount val="1"/>
                <c:pt idx="0">
                  <c:v>Frequency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1 Calculations '!$H$6:$H$31</c:f>
              <c:numCache>
                <c:ptCount val="26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</c:numCache>
            </c:numRef>
          </c:xVal>
          <c:yVal>
            <c:numRef>
              <c:f>'Step 1 Calculations '!$J$6:$J$31</c:f>
              <c:numCache>
                <c:ptCount val="26"/>
                <c:pt idx="0">
                  <c:v>67.67668846383197</c:v>
                </c:pt>
                <c:pt idx="1">
                  <c:v>67.08958559488836</c:v>
                </c:pt>
                <c:pt idx="2">
                  <c:v>66.4772024630088</c:v>
                </c:pt>
                <c:pt idx="3">
                  <c:v>65.83789094312249</c:v>
                </c:pt>
                <c:pt idx="4">
                  <c:v>65.16985887157372</c:v>
                </c:pt>
                <c:pt idx="5">
                  <c:v>64.47115432543464</c:v>
                </c:pt>
                <c:pt idx="6">
                  <c:v>63.73964786692883</c:v>
                </c:pt>
                <c:pt idx="7">
                  <c:v>62.973012455377834</c:v>
                </c:pt>
                <c:pt idx="8">
                  <c:v>62.16870068302255</c:v>
                </c:pt>
                <c:pt idx="9">
                  <c:v>61.32391893850876</c:v>
                </c:pt>
                <c:pt idx="10">
                  <c:v>60.435598042470296</c:v>
                </c:pt>
                <c:pt idx="11">
                  <c:v>59.50035983367579</c:v>
                </c:pt>
                <c:pt idx="12">
                  <c:v>58.51447911266418</c:v>
                </c:pt>
                <c:pt idx="13">
                  <c:v>57.473840275232625</c:v>
                </c:pt>
                <c:pt idx="14">
                  <c:v>56.3738878957048</c:v>
                </c:pt>
                <c:pt idx="15">
                  <c:v>55.20957045913088</c:v>
                </c:pt>
                <c:pt idx="16">
                  <c:v>53.97527640933421</c:v>
                </c:pt>
                <c:pt idx="17">
                  <c:v>52.66476170519541</c:v>
                </c:pt>
                <c:pt idx="18">
                  <c:v>51.271068210507515</c:v>
                </c:pt>
                <c:pt idx="19">
                  <c:v>49.78643256749427</c:v>
                </c:pt>
                <c:pt idx="20">
                  <c:v>48.2021858635899</c:v>
                </c:pt>
                <c:pt idx="21">
                  <c:v>46.50864563833209</c:v>
                </c:pt>
                <c:pt idx="22">
                  <c:v>44.695004008135264</c:v>
                </c:pt>
                <c:pt idx="23">
                  <c:v>42.749219629983884</c:v>
                </c:pt>
                <c:pt idx="24">
                  <c:v>40.657928137906254</c:v>
                </c:pt>
                <c:pt idx="25">
                  <c:v>38.40639780044994</c:v>
                </c:pt>
              </c:numCache>
            </c:numRef>
          </c:yVal>
          <c:smooth val="1"/>
        </c:ser>
        <c:axId val="10640460"/>
        <c:axId val="28655277"/>
      </c:scatterChart>
      <c:scatterChart>
        <c:scatterStyle val="lineMarker"/>
        <c:varyColors val="0"/>
        <c:ser>
          <c:idx val="0"/>
          <c:order val="0"/>
          <c:tx>
            <c:strRef>
              <c:f>'Step 1 Calculations '!$I$4</c:f>
              <c:strCache>
                <c:ptCount val="1"/>
                <c:pt idx="0">
                  <c:v>Peak current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1 Calculations '!$H$6:$H$31</c:f>
              <c:numCache>
                <c:ptCount val="26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</c:numCache>
            </c:numRef>
          </c:xVal>
          <c:yVal>
            <c:numRef>
              <c:f>'Step 1 Calculations '!$I$6:$I$31</c:f>
              <c:numCache>
                <c:ptCount val="26"/>
                <c:pt idx="0">
                  <c:v>0.7860780034693079</c:v>
                </c:pt>
                <c:pt idx="1">
                  <c:v>0.7895100069013113</c:v>
                </c:pt>
                <c:pt idx="2">
                  <c:v>0.7931381248151435</c:v>
                </c:pt>
                <c:pt idx="3">
                  <c:v>0.7969796614297894</c:v>
                </c:pt>
                <c:pt idx="4">
                  <c:v>0.8010540184453228</c:v>
                </c:pt>
                <c:pt idx="5">
                  <c:v>0.805383022774327</c:v>
                </c:pt>
                <c:pt idx="6">
                  <c:v>0.8099913177052027</c:v>
                </c:pt>
                <c:pt idx="7">
                  <c:v>0.8149068322981368</c:v>
                </c:pt>
                <c:pt idx="8">
                  <c:v>0.8201613478974799</c:v>
                </c:pt>
                <c:pt idx="9">
                  <c:v>0.8257911860396333</c:v>
                </c:pt>
                <c:pt idx="10">
                  <c:v>0.8318380492293536</c:v>
                </c:pt>
                <c:pt idx="11">
                  <c:v>0.8383500557413601</c:v>
                </c:pt>
                <c:pt idx="12">
                  <c:v>0.8453830227743272</c:v>
                </c:pt>
                <c:pt idx="13">
                  <c:v>0.853002070393375</c:v>
                </c:pt>
                <c:pt idx="14">
                  <c:v>0.8612836438923397</c:v>
                </c:pt>
                <c:pt idx="15">
                  <c:v>0.8703180877093921</c:v>
                </c:pt>
                <c:pt idx="16">
                  <c:v>0.8802129547471162</c:v>
                </c:pt>
                <c:pt idx="17">
                  <c:v>0.8910973084886129</c:v>
                </c:pt>
                <c:pt idx="18">
                  <c:v>0.9031273836765827</c:v>
                </c:pt>
                <c:pt idx="19">
                  <c:v>0.9164941338854383</c:v>
                </c:pt>
                <c:pt idx="20">
                  <c:v>0.9314334429423944</c:v>
                </c:pt>
                <c:pt idx="21">
                  <c:v>0.94824016563147</c:v>
                </c:pt>
                <c:pt idx="22">
                  <c:v>0.967287784679089</c:v>
                </c:pt>
                <c:pt idx="23">
                  <c:v>0.9890564921620822</c:v>
                </c:pt>
                <c:pt idx="24">
                  <c:v>1.0141742315655358</c:v>
                </c:pt>
                <c:pt idx="25">
                  <c:v>1.0434782608695652</c:v>
                </c:pt>
              </c:numCache>
            </c:numRef>
          </c:yVal>
          <c:smooth val="1"/>
        </c:ser>
        <c:axId val="56570902"/>
        <c:axId val="39376071"/>
      </c:scatterChart>
      <c:valAx>
        <c:axId val="10640460"/>
        <c:scaling>
          <c:orientation val="minMax"/>
          <c:max val="37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DC Input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55277"/>
        <c:crosses val="autoZero"/>
        <c:crossBetween val="midCat"/>
        <c:dispUnits/>
      </c:valAx>
      <c:valAx>
        <c:axId val="2865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0460"/>
        <c:crosses val="autoZero"/>
        <c:crossBetween val="midCat"/>
        <c:dispUnits/>
      </c:valAx>
      <c:valAx>
        <c:axId val="56570902"/>
        <c:scaling>
          <c:orientation val="minMax"/>
        </c:scaling>
        <c:axPos val="b"/>
        <c:delete val="1"/>
        <c:majorTickMark val="in"/>
        <c:minorTickMark val="none"/>
        <c:tickLblPos val="nextTo"/>
        <c:crossAx val="39376071"/>
        <c:crosses val="max"/>
        <c:crossBetween val="midCat"/>
        <c:dispUnits/>
      </c:val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709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5" sqref="A5"/>
    </sheetView>
  </sheetViews>
  <sheetFormatPr defaultColWidth="9.140625" defaultRowHeight="12.75"/>
  <cols>
    <col min="1" max="1" width="60.00390625" style="0" customWidth="1"/>
    <col min="2" max="2" width="29.00390625" style="1" bestFit="1" customWidth="1"/>
    <col min="3" max="8" width="11.421875" style="0" customWidth="1"/>
    <col min="9" max="9" width="12.57421875" style="1" customWidth="1"/>
    <col min="10" max="10" width="11.421875" style="2" customWidth="1"/>
    <col min="11" max="16384" width="11.421875" style="0" customWidth="1"/>
  </cols>
  <sheetData>
    <row r="1" ht="20.25">
      <c r="A1" s="7" t="s">
        <v>41</v>
      </c>
    </row>
    <row r="2" ht="12.75">
      <c r="A2" t="s">
        <v>0</v>
      </c>
    </row>
    <row r="3" ht="12.75">
      <c r="A3" t="s">
        <v>1</v>
      </c>
    </row>
    <row r="4" spans="1:10" ht="12.75">
      <c r="A4" t="s">
        <v>84</v>
      </c>
      <c r="B4" s="1" t="s">
        <v>45</v>
      </c>
      <c r="D4" s="5" t="s">
        <v>32</v>
      </c>
      <c r="H4" s="5" t="s">
        <v>42</v>
      </c>
      <c r="I4" s="8" t="s">
        <v>43</v>
      </c>
      <c r="J4" s="9" t="s">
        <v>44</v>
      </c>
    </row>
    <row r="5" ht="12.75"/>
    <row r="6" spans="1:10" ht="12.75">
      <c r="A6" s="11" t="s">
        <v>2</v>
      </c>
      <c r="B6" s="14">
        <v>375</v>
      </c>
      <c r="C6" t="s">
        <v>5</v>
      </c>
      <c r="D6" t="s">
        <v>13</v>
      </c>
      <c r="E6" s="10"/>
      <c r="H6">
        <v>370</v>
      </c>
      <c r="I6" s="1">
        <f>(($B$18+H6)*2*$B$9)/H6/($B$8/100)/$B$18</f>
        <v>0.7860780034693079</v>
      </c>
      <c r="J6" s="2">
        <f>((2*$B$9)/(($B$27/1000)*I6^2*$B$8/100))/1000</f>
        <v>67.67668846383197</v>
      </c>
    </row>
    <row r="7" spans="1:10" ht="12.75">
      <c r="A7" s="12" t="s">
        <v>3</v>
      </c>
      <c r="B7" s="14">
        <v>127</v>
      </c>
      <c r="C7" t="s">
        <v>5</v>
      </c>
      <c r="D7" t="s">
        <v>12</v>
      </c>
      <c r="E7" s="10"/>
      <c r="H7">
        <f>H6-10</f>
        <v>360</v>
      </c>
      <c r="I7" s="1">
        <f aca="true" t="shared" si="0" ref="I7:I33">(($B$18+H7)*2*$B$9)/H7/($B$8/100)/$B$18</f>
        <v>0.7895100069013113</v>
      </c>
      <c r="J7" s="2">
        <f aca="true" t="shared" si="1" ref="J7:J33">((2*$B$9)/(($B$27/1000)*I7^2*$B$8/100))/1000</f>
        <v>67.08958559488836</v>
      </c>
    </row>
    <row r="8" spans="1:10" ht="12.75">
      <c r="A8" s="13" t="s">
        <v>15</v>
      </c>
      <c r="B8" s="14">
        <v>70</v>
      </c>
      <c r="C8" t="s">
        <v>16</v>
      </c>
      <c r="E8" s="10"/>
      <c r="H8">
        <f aca="true" t="shared" si="2" ref="H8:H32">H7-10</f>
        <v>350</v>
      </c>
      <c r="I8" s="1">
        <f t="shared" si="0"/>
        <v>0.7931381248151435</v>
      </c>
      <c r="J8" s="2">
        <f t="shared" si="1"/>
        <v>66.4772024630088</v>
      </c>
    </row>
    <row r="9" spans="1:10" ht="12.75">
      <c r="A9" s="10" t="s">
        <v>4</v>
      </c>
      <c r="B9" s="16">
        <v>16</v>
      </c>
      <c r="C9" t="s">
        <v>6</v>
      </c>
      <c r="E9" s="10"/>
      <c r="H9">
        <f t="shared" si="2"/>
        <v>340</v>
      </c>
      <c r="I9" s="1">
        <f t="shared" si="0"/>
        <v>0.7969796614297894</v>
      </c>
      <c r="J9" s="2">
        <f t="shared" si="1"/>
        <v>65.83789094312249</v>
      </c>
    </row>
    <row r="10" spans="1:10" ht="12.75">
      <c r="A10" s="10" t="s">
        <v>7</v>
      </c>
      <c r="B10" s="17">
        <v>13</v>
      </c>
      <c r="C10" t="s">
        <v>5</v>
      </c>
      <c r="E10" s="10"/>
      <c r="H10">
        <f t="shared" si="2"/>
        <v>330</v>
      </c>
      <c r="I10" s="1">
        <f t="shared" si="0"/>
        <v>0.8010540184453228</v>
      </c>
      <c r="J10" s="2">
        <f t="shared" si="1"/>
        <v>65.16985887157372</v>
      </c>
    </row>
    <row r="11" spans="1:10" ht="12.75">
      <c r="A11" s="10" t="s">
        <v>17</v>
      </c>
      <c r="B11" s="15">
        <v>0.8</v>
      </c>
      <c r="C11" t="s">
        <v>5</v>
      </c>
      <c r="E11" s="10"/>
      <c r="H11">
        <f t="shared" si="2"/>
        <v>320</v>
      </c>
      <c r="I11" s="1">
        <f t="shared" si="0"/>
        <v>0.805383022774327</v>
      </c>
      <c r="J11" s="2">
        <f t="shared" si="1"/>
        <v>64.47115432543464</v>
      </c>
    </row>
    <row r="12" spans="1:10" ht="12.75">
      <c r="A12" s="3" t="s">
        <v>8</v>
      </c>
      <c r="B12" s="1">
        <f>B10*B10/B9</f>
        <v>10.5625</v>
      </c>
      <c r="C12" t="s">
        <v>9</v>
      </c>
      <c r="E12" s="10"/>
      <c r="H12">
        <f t="shared" si="2"/>
        <v>310</v>
      </c>
      <c r="I12" s="1">
        <f t="shared" si="0"/>
        <v>0.8099913177052027</v>
      </c>
      <c r="J12" s="2">
        <f t="shared" si="1"/>
        <v>63.73964786692883</v>
      </c>
    </row>
    <row r="13" spans="1:10" ht="12.75">
      <c r="A13" s="3" t="s">
        <v>10</v>
      </c>
      <c r="B13" s="1">
        <f>B10/B12</f>
        <v>1.2307692307692308</v>
      </c>
      <c r="C13" t="s">
        <v>11</v>
      </c>
      <c r="E13" s="10"/>
      <c r="H13">
        <f t="shared" si="2"/>
        <v>300</v>
      </c>
      <c r="I13" s="1">
        <f t="shared" si="0"/>
        <v>0.8149068322981368</v>
      </c>
      <c r="J13" s="2">
        <f t="shared" si="1"/>
        <v>62.973012455377834</v>
      </c>
    </row>
    <row r="14" spans="1:10" ht="12.75">
      <c r="A14" t="s">
        <v>20</v>
      </c>
      <c r="B14" s="14">
        <v>40</v>
      </c>
      <c r="C14" t="s">
        <v>14</v>
      </c>
      <c r="E14" s="10"/>
      <c r="H14">
        <f t="shared" si="2"/>
        <v>290</v>
      </c>
      <c r="I14" s="1">
        <f t="shared" si="0"/>
        <v>0.8201613478974799</v>
      </c>
      <c r="J14" s="2">
        <f t="shared" si="1"/>
        <v>62.16870068302255</v>
      </c>
    </row>
    <row r="15" spans="1:10" ht="12.75">
      <c r="A15" t="s">
        <v>54</v>
      </c>
      <c r="B15" s="15">
        <v>0.2</v>
      </c>
      <c r="E15" s="10"/>
      <c r="H15">
        <f t="shared" si="2"/>
        <v>280</v>
      </c>
      <c r="I15" s="1">
        <f t="shared" si="0"/>
        <v>0.8257911860396333</v>
      </c>
      <c r="J15" s="2">
        <f t="shared" si="1"/>
        <v>61.32391893850876</v>
      </c>
    </row>
    <row r="16" spans="1:10" ht="12.75">
      <c r="A16" t="s">
        <v>23</v>
      </c>
      <c r="B16" s="14">
        <v>47</v>
      </c>
      <c r="C16" t="s">
        <v>24</v>
      </c>
      <c r="D16" t="s">
        <v>26</v>
      </c>
      <c r="E16" s="10"/>
      <c r="H16">
        <f t="shared" si="2"/>
        <v>270</v>
      </c>
      <c r="I16" s="1">
        <f t="shared" si="0"/>
        <v>0.8318380492293536</v>
      </c>
      <c r="J16" s="2">
        <f t="shared" si="1"/>
        <v>60.435598042470296</v>
      </c>
    </row>
    <row r="17" spans="8:10" ht="12.75">
      <c r="H17">
        <f t="shared" si="2"/>
        <v>260</v>
      </c>
      <c r="I17" s="1">
        <f t="shared" si="0"/>
        <v>0.8383500557413601</v>
      </c>
      <c r="J17" s="2">
        <f t="shared" si="1"/>
        <v>59.50035983367579</v>
      </c>
    </row>
    <row r="18" spans="1:10" ht="12.75">
      <c r="A18" t="s">
        <v>19</v>
      </c>
      <c r="B18" s="6">
        <f>(1/B15)*(B10+B11)</f>
        <v>69</v>
      </c>
      <c r="C18" t="s">
        <v>5</v>
      </c>
      <c r="H18">
        <f t="shared" si="2"/>
        <v>250</v>
      </c>
      <c r="I18" s="1">
        <f t="shared" si="0"/>
        <v>0.8453830227743272</v>
      </c>
      <c r="J18" s="2">
        <f t="shared" si="1"/>
        <v>58.51447911266418</v>
      </c>
    </row>
    <row r="19" spans="1:10" ht="12.75">
      <c r="A19" t="s">
        <v>48</v>
      </c>
      <c r="B19" s="6">
        <f>B6+B18+B21*SQRT(B29*0.000001/(B16*0.000000000001))</f>
        <v>1099.2499913224055</v>
      </c>
      <c r="C19" t="s">
        <v>5</v>
      </c>
      <c r="H19">
        <f>H18-10</f>
        <v>240</v>
      </c>
      <c r="I19" s="1">
        <f t="shared" si="0"/>
        <v>0.853002070393375</v>
      </c>
      <c r="J19" s="2">
        <f t="shared" si="1"/>
        <v>57.473840275232625</v>
      </c>
    </row>
    <row r="20" spans="1:10" ht="12.75">
      <c r="A20" t="s">
        <v>33</v>
      </c>
      <c r="B20" s="1">
        <f>((B18+B7)*2*(B9/(B8/100)))/B7/B18</f>
        <v>1.0224808855414813</v>
      </c>
      <c r="C20" t="s">
        <v>18</v>
      </c>
      <c r="D20" t="s">
        <v>28</v>
      </c>
      <c r="H20">
        <f t="shared" si="2"/>
        <v>230</v>
      </c>
      <c r="I20" s="1">
        <f t="shared" si="0"/>
        <v>0.8612836438923397</v>
      </c>
      <c r="J20" s="2">
        <f t="shared" si="1"/>
        <v>56.3738878957048</v>
      </c>
    </row>
    <row r="21" spans="1:10" ht="12.75">
      <c r="A21" t="s">
        <v>36</v>
      </c>
      <c r="B21" s="1">
        <f>((B18+B6)*2*(B9/(B8/100)))/B6/B18</f>
        <v>0.7844306418219462</v>
      </c>
      <c r="C21" t="s">
        <v>18</v>
      </c>
      <c r="H21">
        <f>H20-10</f>
        <v>220</v>
      </c>
      <c r="I21" s="1">
        <f t="shared" si="0"/>
        <v>0.8703180877093921</v>
      </c>
      <c r="J21" s="2">
        <f t="shared" si="1"/>
        <v>55.20957045913088</v>
      </c>
    </row>
    <row r="22" spans="1:10" ht="12.75">
      <c r="A22" t="s">
        <v>53</v>
      </c>
      <c r="B22" s="1">
        <f>B6*B15+B10</f>
        <v>88</v>
      </c>
      <c r="C22" t="s">
        <v>5</v>
      </c>
      <c r="H22">
        <f t="shared" si="2"/>
        <v>210</v>
      </c>
      <c r="I22" s="1">
        <f t="shared" si="0"/>
        <v>0.8802129547471162</v>
      </c>
      <c r="J22" s="2">
        <f t="shared" si="1"/>
        <v>53.97527640933421</v>
      </c>
    </row>
    <row r="23" spans="1:10" ht="12.75">
      <c r="A23" t="s">
        <v>37</v>
      </c>
      <c r="B23" s="1">
        <f>((B27/1000)*B20/B7)*1000000</f>
        <v>8.801020408163263</v>
      </c>
      <c r="C23" t="s">
        <v>30</v>
      </c>
      <c r="D23" t="s">
        <v>34</v>
      </c>
      <c r="H23">
        <f t="shared" si="2"/>
        <v>200</v>
      </c>
      <c r="I23" s="1">
        <f t="shared" si="0"/>
        <v>0.8910973084886129</v>
      </c>
      <c r="J23" s="2">
        <f t="shared" si="1"/>
        <v>52.66476170519541</v>
      </c>
    </row>
    <row r="24" spans="1:10" ht="12.75">
      <c r="A24" t="s">
        <v>38</v>
      </c>
      <c r="B24" s="1">
        <f>((B27/1000)*B21/B6)*1000000</f>
        <v>2.2866770512286534</v>
      </c>
      <c r="C24" t="s">
        <v>30</v>
      </c>
      <c r="D24" t="s">
        <v>35</v>
      </c>
      <c r="H24">
        <f t="shared" si="2"/>
        <v>190</v>
      </c>
      <c r="I24" s="1">
        <f t="shared" si="0"/>
        <v>0.9031273836765827</v>
      </c>
      <c r="J24" s="2">
        <f t="shared" si="1"/>
        <v>51.271068210507515</v>
      </c>
    </row>
    <row r="25" spans="1:10" ht="12.75">
      <c r="A25" t="s">
        <v>40</v>
      </c>
      <c r="B25" s="1">
        <f>((B27/1000)*B20/B18)*1000000</f>
        <v>16.19897959183673</v>
      </c>
      <c r="C25" t="s">
        <v>30</v>
      </c>
      <c r="D25" t="s">
        <v>34</v>
      </c>
      <c r="H25">
        <f t="shared" si="2"/>
        <v>180</v>
      </c>
      <c r="I25" s="1">
        <f t="shared" si="0"/>
        <v>0.9164941338854383</v>
      </c>
      <c r="J25" s="2">
        <f t="shared" si="1"/>
        <v>49.78643256749427</v>
      </c>
    </row>
    <row r="26" spans="1:10" ht="12.75">
      <c r="A26" t="s">
        <v>39</v>
      </c>
      <c r="B26" s="1">
        <f>((B27/1000)*B21/B18)*1000000</f>
        <v>12.427592669720942</v>
      </c>
      <c r="C26" t="s">
        <v>30</v>
      </c>
      <c r="D26" t="s">
        <v>35</v>
      </c>
      <c r="H26">
        <f>H25-10</f>
        <v>170</v>
      </c>
      <c r="I26" s="1">
        <f t="shared" si="0"/>
        <v>0.9314334429423944</v>
      </c>
      <c r="J26" s="2">
        <f t="shared" si="1"/>
        <v>48.2021858635899</v>
      </c>
    </row>
    <row r="27" spans="1:10" ht="13.5" customHeight="1">
      <c r="A27" t="s">
        <v>22</v>
      </c>
      <c r="B27" s="4">
        <f>2*$B$9/($B$8/100)/$B$20^2/$B$14*1000/1000</f>
        <v>1.0931545104090739</v>
      </c>
      <c r="C27" t="s">
        <v>21</v>
      </c>
      <c r="D27" t="s">
        <v>27</v>
      </c>
      <c r="H27">
        <f t="shared" si="2"/>
        <v>160</v>
      </c>
      <c r="I27" s="1">
        <f t="shared" si="0"/>
        <v>0.94824016563147</v>
      </c>
      <c r="J27" s="2">
        <f t="shared" si="1"/>
        <v>46.50864563833209</v>
      </c>
    </row>
    <row r="28" spans="1:10" ht="13.5" customHeight="1">
      <c r="A28" t="s">
        <v>49</v>
      </c>
      <c r="B28" s="17">
        <v>3</v>
      </c>
      <c r="C28" t="s">
        <v>16</v>
      </c>
      <c r="H28">
        <f t="shared" si="2"/>
        <v>150</v>
      </c>
      <c r="I28" s="1">
        <f t="shared" si="0"/>
        <v>0.967287784679089</v>
      </c>
      <c r="J28" s="2">
        <f t="shared" si="1"/>
        <v>44.695004008135264</v>
      </c>
    </row>
    <row r="29" spans="1:10" ht="13.5" customHeight="1">
      <c r="A29" t="s">
        <v>50</v>
      </c>
      <c r="B29" s="18">
        <f>(B27*0.001*(B28/100))*1000000</f>
        <v>32.79463531227221</v>
      </c>
      <c r="C29" t="s">
        <v>51</v>
      </c>
      <c r="D29" t="s">
        <v>52</v>
      </c>
      <c r="H29">
        <f t="shared" si="2"/>
        <v>140</v>
      </c>
      <c r="I29" s="1">
        <f t="shared" si="0"/>
        <v>0.9890564921620822</v>
      </c>
      <c r="J29" s="2">
        <f t="shared" si="1"/>
        <v>42.749219629983884</v>
      </c>
    </row>
    <row r="30" spans="1:10" ht="12.75">
      <c r="A30" t="s">
        <v>25</v>
      </c>
      <c r="B30" s="1">
        <f>(1/(2*PI()*($B$27/1000*$B$16*0.000000000001)^0.5))/1000</f>
        <v>702.1508519861715</v>
      </c>
      <c r="C30" t="s">
        <v>14</v>
      </c>
      <c r="D30" t="s">
        <v>31</v>
      </c>
      <c r="H30">
        <f t="shared" si="2"/>
        <v>130</v>
      </c>
      <c r="I30" s="1">
        <f t="shared" si="0"/>
        <v>1.0141742315655358</v>
      </c>
      <c r="J30" s="2">
        <f t="shared" si="1"/>
        <v>40.657928137906254</v>
      </c>
    </row>
    <row r="31" spans="1:10" ht="12.75">
      <c r="A31" t="s">
        <v>29</v>
      </c>
      <c r="B31" s="1">
        <f>(PI()*SQRT((B27/1000)*B16*0.000000000001))/0.000001</f>
        <v>0.712097690383273</v>
      </c>
      <c r="C31" t="s">
        <v>30</v>
      </c>
      <c r="H31">
        <f>H30-10</f>
        <v>120</v>
      </c>
      <c r="I31" s="1">
        <f t="shared" si="0"/>
        <v>1.0434782608695652</v>
      </c>
      <c r="J31" s="2">
        <f t="shared" si="1"/>
        <v>38.40639780044994</v>
      </c>
    </row>
    <row r="32" spans="1:10" ht="12.75">
      <c r="A32" t="s">
        <v>46</v>
      </c>
      <c r="B32" s="1">
        <f>(1/(1/((2*(B9/(B8/100)))/((B27/1000)*B21^2))+(B31*0.000001)))/1000</f>
        <v>64.82407512642006</v>
      </c>
      <c r="C32" t="s">
        <v>14</v>
      </c>
      <c r="H32">
        <f t="shared" si="2"/>
        <v>110</v>
      </c>
      <c r="I32" s="1">
        <f t="shared" si="0"/>
        <v>1.0781102955016</v>
      </c>
      <c r="J32" s="2">
        <f t="shared" si="1"/>
        <v>35.978578495654546</v>
      </c>
    </row>
    <row r="33" spans="1:10" ht="12.75">
      <c r="A33" t="s">
        <v>47</v>
      </c>
      <c r="B33" s="1">
        <f>0.5*B20^2*B14*1000*B27*0.001*(B8/100)</f>
        <v>15.999999999999996</v>
      </c>
      <c r="C33" t="s">
        <v>6</v>
      </c>
      <c r="H33">
        <f>H32-10</f>
        <v>100</v>
      </c>
      <c r="I33" s="1">
        <f t="shared" si="0"/>
        <v>1.1196687370600413</v>
      </c>
      <c r="J33" s="2">
        <f t="shared" si="1"/>
        <v>33.35733011580166</v>
      </c>
    </row>
    <row r="34" ht="12.75"/>
    <row r="35" ht="12.75"/>
    <row r="36" ht="12.75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I34" sqref="I34"/>
    </sheetView>
  </sheetViews>
  <sheetFormatPr defaultColWidth="9.140625" defaultRowHeight="12.75"/>
  <cols>
    <col min="1" max="1" width="10.57421875" style="0" customWidth="1"/>
  </cols>
  <sheetData>
    <row r="1" spans="1:9" ht="42.75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ht="12.75">
      <c r="A2" t="s">
        <v>81</v>
      </c>
    </row>
    <row r="3" ht="12.75">
      <c r="A3" t="s">
        <v>1</v>
      </c>
    </row>
    <row r="4" ht="12.75">
      <c r="A4" t="s">
        <v>82</v>
      </c>
    </row>
    <row r="6" ht="12.75">
      <c r="A6" s="19" t="s">
        <v>56</v>
      </c>
    </row>
    <row r="7" ht="13.5" thickBot="1"/>
    <row r="8" spans="1:3" ht="13.5" thickBot="1">
      <c r="A8" s="47" t="s">
        <v>58</v>
      </c>
      <c r="B8" s="48" t="s">
        <v>57</v>
      </c>
      <c r="C8" t="s">
        <v>59</v>
      </c>
    </row>
    <row r="9" spans="1:3" ht="12.75">
      <c r="A9" s="28">
        <v>5</v>
      </c>
      <c r="B9" s="46">
        <v>2.5</v>
      </c>
      <c r="C9" t="s">
        <v>60</v>
      </c>
    </row>
    <row r="10" spans="1:3" ht="12.75">
      <c r="A10" s="26">
        <v>3.3</v>
      </c>
      <c r="B10" s="44">
        <v>3.3</v>
      </c>
      <c r="C10" t="s">
        <v>61</v>
      </c>
    </row>
    <row r="11" spans="1:3" ht="12.75">
      <c r="A11" s="26">
        <v>2.5</v>
      </c>
      <c r="B11" s="44">
        <v>2.5</v>
      </c>
      <c r="C11" t="s">
        <v>61</v>
      </c>
    </row>
    <row r="12" spans="1:3" ht="12.75">
      <c r="A12" s="26">
        <v>13</v>
      </c>
      <c r="B12" s="44">
        <v>6.5</v>
      </c>
      <c r="C12" t="s">
        <v>62</v>
      </c>
    </row>
    <row r="13" spans="1:3" ht="13.5" thickBot="1">
      <c r="A13" s="27">
        <v>5</v>
      </c>
      <c r="B13" s="45">
        <v>0.5</v>
      </c>
      <c r="C13" t="s">
        <v>63</v>
      </c>
    </row>
    <row r="15" spans="1:3" ht="38.25">
      <c r="A15" s="21" t="s">
        <v>64</v>
      </c>
      <c r="B15" s="22">
        <f>SUM(B9:B13)</f>
        <v>15.3</v>
      </c>
      <c r="C15" s="22" t="s">
        <v>6</v>
      </c>
    </row>
    <row r="17" spans="1:3" ht="12.75">
      <c r="A17" t="s">
        <v>55</v>
      </c>
      <c r="B17" s="23">
        <v>0.7</v>
      </c>
      <c r="C17" t="s">
        <v>5</v>
      </c>
    </row>
    <row r="18" ht="12.75">
      <c r="B18" s="23"/>
    </row>
    <row r="19" spans="1:3" ht="12.75">
      <c r="A19" t="s">
        <v>69</v>
      </c>
      <c r="B19" s="24">
        <v>5</v>
      </c>
      <c r="C19" t="s">
        <v>67</v>
      </c>
    </row>
    <row r="20" spans="1:3" ht="25.5">
      <c r="A20" s="20" t="s">
        <v>65</v>
      </c>
      <c r="B20" s="22">
        <f>(A9+Vf)/B19</f>
        <v>1.1400000000000001</v>
      </c>
      <c r="C20" s="22" t="s">
        <v>66</v>
      </c>
    </row>
    <row r="22" ht="13.5" thickBot="1">
      <c r="A22" s="19" t="s">
        <v>68</v>
      </c>
    </row>
    <row r="23" spans="1:3" ht="12.75">
      <c r="A23" s="33" t="s">
        <v>69</v>
      </c>
      <c r="B23" s="42">
        <f>(A9+Vf)/vow</f>
        <v>5</v>
      </c>
      <c r="C23" s="35" t="s">
        <v>67</v>
      </c>
    </row>
    <row r="24" spans="1:3" ht="12.75">
      <c r="A24" s="36" t="s">
        <v>70</v>
      </c>
      <c r="B24" s="41">
        <f>(A10+Vf)/vow</f>
        <v>3.508771929824561</v>
      </c>
      <c r="C24" s="37" t="s">
        <v>67</v>
      </c>
    </row>
    <row r="25" spans="1:3" ht="12.75">
      <c r="A25" s="36" t="s">
        <v>71</v>
      </c>
      <c r="B25" s="41">
        <f>(A11+Vf)/vow</f>
        <v>2.807017543859649</v>
      </c>
      <c r="C25" s="37" t="s">
        <v>67</v>
      </c>
    </row>
    <row r="26" spans="1:3" ht="12.75">
      <c r="A26" s="36" t="s">
        <v>72</v>
      </c>
      <c r="B26" s="41">
        <f>(A12+Vf)/vow</f>
        <v>12.017543859649122</v>
      </c>
      <c r="C26" s="37" t="s">
        <v>67</v>
      </c>
    </row>
    <row r="27" spans="1:3" ht="13.5" thickBot="1">
      <c r="A27" s="38" t="s">
        <v>73</v>
      </c>
      <c r="B27" s="43">
        <f>(A13+Vf)/vow</f>
        <v>5</v>
      </c>
      <c r="C27" s="40" t="s">
        <v>67</v>
      </c>
    </row>
    <row r="29" spans="1:6" ht="51.75" customHeight="1">
      <c r="A29" s="54" t="s">
        <v>83</v>
      </c>
      <c r="B29" s="54"/>
      <c r="C29" s="54"/>
      <c r="D29" s="54"/>
      <c r="E29" s="54"/>
      <c r="F29" s="54"/>
    </row>
    <row r="31" ht="13.5" thickBot="1">
      <c r="A31" s="19" t="s">
        <v>74</v>
      </c>
    </row>
    <row r="32" spans="1:3" ht="12.75">
      <c r="A32" s="33" t="s">
        <v>69</v>
      </c>
      <c r="B32" s="34">
        <v>5</v>
      </c>
      <c r="C32" s="35" t="s">
        <v>67</v>
      </c>
    </row>
    <row r="33" spans="1:3" ht="12.75">
      <c r="A33" s="36" t="s">
        <v>70</v>
      </c>
      <c r="B33" s="25">
        <v>4</v>
      </c>
      <c r="C33" s="37" t="s">
        <v>67</v>
      </c>
    </row>
    <row r="34" spans="1:3" ht="12.75">
      <c r="A34" s="36" t="s">
        <v>71</v>
      </c>
      <c r="B34" s="25">
        <v>3</v>
      </c>
      <c r="C34" s="37" t="s">
        <v>67</v>
      </c>
    </row>
    <row r="35" spans="1:3" ht="12.75">
      <c r="A35" s="36" t="s">
        <v>72</v>
      </c>
      <c r="B35" s="25">
        <v>12</v>
      </c>
      <c r="C35" s="37" t="s">
        <v>67</v>
      </c>
    </row>
    <row r="36" spans="1:3" ht="13.5" thickBot="1">
      <c r="A36" s="38" t="s">
        <v>73</v>
      </c>
      <c r="B36" s="39">
        <v>5</v>
      </c>
      <c r="C36" s="40" t="s">
        <v>67</v>
      </c>
    </row>
    <row r="38" ht="13.5" thickBot="1">
      <c r="A38" s="19" t="s">
        <v>75</v>
      </c>
    </row>
    <row r="39" spans="1:4" ht="39.75" customHeight="1" thickBot="1">
      <c r="A39" s="29" t="s">
        <v>77</v>
      </c>
      <c r="B39" s="55" t="s">
        <v>76</v>
      </c>
      <c r="C39" s="55"/>
      <c r="D39" s="49" t="s">
        <v>78</v>
      </c>
    </row>
    <row r="40" spans="1:4" ht="12.75">
      <c r="A40" s="30">
        <f>A9</f>
        <v>5</v>
      </c>
      <c r="B40" s="56">
        <f>B32*vow-Vf</f>
        <v>5.000000000000001</v>
      </c>
      <c r="C40" s="56"/>
      <c r="D40" s="50">
        <f>B40-A40</f>
        <v>0</v>
      </c>
    </row>
    <row r="41" spans="1:4" ht="12.75">
      <c r="A41" s="31">
        <f>A10</f>
        <v>3.3</v>
      </c>
      <c r="B41" s="57">
        <f>B33*vow-Vf</f>
        <v>3.8600000000000003</v>
      </c>
      <c r="C41" s="57"/>
      <c r="D41" s="51">
        <f>B41-A41</f>
        <v>0.5600000000000005</v>
      </c>
    </row>
    <row r="42" spans="1:4" ht="12.75">
      <c r="A42" s="31">
        <f>A11</f>
        <v>2.5</v>
      </c>
      <c r="B42" s="57">
        <f>B34*vow-Vf</f>
        <v>2.7200000000000006</v>
      </c>
      <c r="C42" s="57"/>
      <c r="D42" s="51">
        <f>B42-A42</f>
        <v>0.22000000000000064</v>
      </c>
    </row>
    <row r="43" spans="1:4" ht="12.75">
      <c r="A43" s="31">
        <f>A12</f>
        <v>13</v>
      </c>
      <c r="B43" s="57">
        <f>B35*vow-Vf</f>
        <v>12.980000000000002</v>
      </c>
      <c r="C43" s="57"/>
      <c r="D43" s="51">
        <f>B43-A43</f>
        <v>-0.019999999999997797</v>
      </c>
    </row>
    <row r="44" spans="1:4" ht="13.5" thickBot="1">
      <c r="A44" s="32">
        <f>A13</f>
        <v>5</v>
      </c>
      <c r="B44" s="58">
        <f>B36*vow-Vf</f>
        <v>5.000000000000001</v>
      </c>
      <c r="C44" s="58"/>
      <c r="D44" s="52">
        <f>B44-A44</f>
        <v>0</v>
      </c>
    </row>
    <row r="46" spans="1:6" ht="53.25" customHeight="1">
      <c r="A46" s="54" t="s">
        <v>79</v>
      </c>
      <c r="B46" s="54"/>
      <c r="C46" s="54"/>
      <c r="D46" s="54"/>
      <c r="E46" s="54"/>
      <c r="F46" s="54"/>
    </row>
  </sheetData>
  <mergeCells count="9">
    <mergeCell ref="A1:I1"/>
    <mergeCell ref="A46:F46"/>
    <mergeCell ref="A29:F29"/>
    <mergeCell ref="B39:C39"/>
    <mergeCell ref="B40:C40"/>
    <mergeCell ref="B41:C41"/>
    <mergeCell ref="B42:C42"/>
    <mergeCell ref="B43:C43"/>
    <mergeCell ref="B44:C4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</dc:creator>
  <cp:keywords/>
  <dc:description/>
  <cp:lastModifiedBy>Thierry Sutto</cp:lastModifiedBy>
  <dcterms:created xsi:type="dcterms:W3CDTF">2002-08-25T09:19:37Z</dcterms:created>
  <dcterms:modified xsi:type="dcterms:W3CDTF">2005-11-16T09:52:32Z</dcterms:modified>
  <cp:category/>
  <cp:version/>
  <cp:contentType/>
  <cp:contentStatus/>
</cp:coreProperties>
</file>