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fy7pn\Documents\Datasheets\ON\automotive\PWM\NCV898032\iMIT\"/>
    </mc:Choice>
  </mc:AlternateContent>
  <bookViews>
    <workbookView xWindow="240" yWindow="105" windowWidth="14805" windowHeight="8010"/>
  </bookViews>
  <sheets>
    <sheet name="1. Introduction" sheetId="1" r:id="rId1"/>
    <sheet name="2. Design Parameters" sheetId="2" r:id="rId2"/>
    <sheet name="3. Feedback Resistors" sheetId="3" r:id="rId3"/>
    <sheet name="4. Boost Inductor" sheetId="4" r:id="rId4"/>
    <sheet name="5. Current Sense Resistor" sheetId="5" r:id="rId5"/>
    <sheet name="6. Output Capacitors" sheetId="6" r:id="rId6"/>
    <sheet name="Input Capacitor" sheetId="7" state="hidden" r:id="rId7"/>
    <sheet name="7. Diode" sheetId="8" r:id="rId8"/>
    <sheet name="8. MOSFET" sheetId="9" r:id="rId9"/>
    <sheet name="9. Loop Compensation" sheetId="10" r:id="rId10"/>
    <sheet name="Design Information" sheetId="11" state="hidden" r:id="rId11"/>
    <sheet name="Calculations" sheetId="12" state="hidden" r:id="rId12"/>
  </sheets>
  <definedNames>
    <definedName name="C0">'9. Loop Compensation'!$T$15</definedName>
    <definedName name="comp_C1">'9. Loop Compensation'!$T$23</definedName>
    <definedName name="comp_C2">'9. Loop Compensation'!$T$24</definedName>
    <definedName name="comp_R2">'9. Loop Compensation'!$B$8</definedName>
    <definedName name="Dconv_max">Calculations!$D$2</definedName>
    <definedName name="Dmax_min">'2. Design Parameters'!$B$8</definedName>
    <definedName name="Dmax_nom">'2. Design Parameters'!$C$8</definedName>
    <definedName name="Fsw_max">'2. Design Parameters'!$D$6</definedName>
    <definedName name="Fsw_min">'2. Design Parameters'!$B$6</definedName>
    <definedName name="Fsw_nom">'2. Design Parameters'!$C$6</definedName>
    <definedName name="gm">'9. Loop Compensation'!$T$18</definedName>
    <definedName name="IavgL">'4. Boost Inductor'!$B$3</definedName>
    <definedName name="Ioutmax">'2. Design Parameters'!$D$5</definedName>
    <definedName name="IPeakL">'4. Boost Inductor'!$E$3</definedName>
    <definedName name="Iripple">'4. Boost Inductor'!$B$8</definedName>
    <definedName name="IrmsL">'4. Boost Inductor'!$E$2</definedName>
    <definedName name="Lo">'4. Boost Inductor'!$B$11</definedName>
    <definedName name="R0">'9. Loop Compensation'!$T$16</definedName>
    <definedName name="Rlower">'3. Feedback Resistors'!$D$8</definedName>
    <definedName name="Rotaesd">'9. Loop Compensation'!$T$17</definedName>
    <definedName name="Rout">'9. Loop Compensation'!$T$6</definedName>
    <definedName name="Rupper">'3. Feedback Resistors'!$D$7</definedName>
    <definedName name="SC_nom">'2. Design Parameters'!$C$7</definedName>
    <definedName name="Tsw">Calculations!$C$3</definedName>
    <definedName name="vcl_max">'2. Design Parameters'!$D$10</definedName>
    <definedName name="vcl_min">'2. Design Parameters'!$B$10</definedName>
    <definedName name="vcl_nom">'2. Design Parameters'!$C$10</definedName>
    <definedName name="Vdrv_nom">'2. Design Parameters'!$C$9</definedName>
    <definedName name="Vf">'7. Diode'!$B$1</definedName>
    <definedName name="Vin_max">'2. Design Parameters'!$D$3</definedName>
    <definedName name="Vin_min">'2. Design Parameters'!$B$3</definedName>
    <definedName name="Vin_nominal">'2. Design Parameters'!$C$3</definedName>
    <definedName name="Vout">'2. Design Parameters'!$C$4</definedName>
    <definedName name="wp1e">'9. Loop Compensation'!$T$21</definedName>
    <definedName name="wp2e">'9. Loop Compensation'!$T$22</definedName>
    <definedName name="wz1e">'9. Loop Compensation'!$T$19</definedName>
    <definedName name="wz2e">'9. Loop Compensation'!$T$20</definedName>
  </definedNames>
  <calcPr calcId="152511"/>
  <customWorkbookViews>
    <customWorkbookView name="ffx7zn - Personal View" guid="{25ED444C-8CCE-464F-9E26-1EDA12EA830D}" mergeInterval="0" personalView="1" maximized="1" xWindow="1" yWindow="1" windowWidth="1481" windowHeight="859" activeSheetId="10"/>
  </customWorkbookViews>
</workbook>
</file>

<file path=xl/calcChain.xml><?xml version="1.0" encoding="utf-8"?>
<calcChain xmlns="http://schemas.openxmlformats.org/spreadsheetml/2006/main">
  <c r="B2" i="10" l="1"/>
  <c r="B5" i="10" s="1"/>
  <c r="V10" i="10"/>
  <c r="V9" i="10"/>
  <c r="AE2" i="10"/>
  <c r="AD2" i="10"/>
  <c r="AC202" i="10"/>
  <c r="AC201" i="10"/>
  <c r="AC200" i="10"/>
  <c r="AC199" i="10"/>
  <c r="AC198" i="10"/>
  <c r="AC197" i="10"/>
  <c r="AC196" i="10"/>
  <c r="AC195" i="10"/>
  <c r="AC194" i="10"/>
  <c r="AC193" i="10"/>
  <c r="AC192" i="10"/>
  <c r="AC191" i="10"/>
  <c r="AC190" i="10"/>
  <c r="AC189" i="10"/>
  <c r="AC188" i="10"/>
  <c r="AC187" i="10"/>
  <c r="AC186" i="10"/>
  <c r="AC185" i="10"/>
  <c r="AC184" i="10"/>
  <c r="AC183" i="10"/>
  <c r="AC182" i="10"/>
  <c r="AC181" i="10"/>
  <c r="AC180" i="10"/>
  <c r="AC179" i="10"/>
  <c r="AC178" i="10"/>
  <c r="AC177" i="10"/>
  <c r="AC176" i="10"/>
  <c r="AC175" i="10"/>
  <c r="AC174" i="10"/>
  <c r="AC173" i="10"/>
  <c r="AC172" i="10"/>
  <c r="AC171" i="10"/>
  <c r="AC170" i="10"/>
  <c r="AC169" i="10"/>
  <c r="AC168" i="10"/>
  <c r="AC167" i="10"/>
  <c r="AC166" i="10"/>
  <c r="AC165" i="10"/>
  <c r="AC164" i="10"/>
  <c r="AC163" i="10"/>
  <c r="AC162" i="10"/>
  <c r="AC161" i="10"/>
  <c r="AC160" i="10"/>
  <c r="AC159" i="10"/>
  <c r="AC158" i="10"/>
  <c r="AC157" i="10"/>
  <c r="AC156" i="10"/>
  <c r="AC155" i="10"/>
  <c r="AC154" i="10"/>
  <c r="AC153" i="10"/>
  <c r="AC152" i="10"/>
  <c r="AC151" i="10"/>
  <c r="AC150" i="10"/>
  <c r="AC149" i="10"/>
  <c r="AC148" i="10"/>
  <c r="AC147" i="10"/>
  <c r="AC146" i="10"/>
  <c r="AC145" i="10"/>
  <c r="AC144" i="10"/>
  <c r="AC143" i="10"/>
  <c r="AC142" i="10"/>
  <c r="AC141" i="10"/>
  <c r="AC140" i="10"/>
  <c r="AC139" i="10"/>
  <c r="AC138" i="10"/>
  <c r="AC137" i="10"/>
  <c r="AC136" i="10"/>
  <c r="AC135" i="10"/>
  <c r="AC134" i="10"/>
  <c r="AC133" i="10"/>
  <c r="AC132" i="10"/>
  <c r="AC131" i="10"/>
  <c r="AC130" i="10"/>
  <c r="AC129" i="10"/>
  <c r="AC128" i="10"/>
  <c r="AC127" i="10"/>
  <c r="AC126" i="10"/>
  <c r="AC125" i="10"/>
  <c r="AC124" i="10"/>
  <c r="AC123" i="10"/>
  <c r="AC122" i="10"/>
  <c r="AC121" i="10"/>
  <c r="AC120" i="10"/>
  <c r="AC119" i="10"/>
  <c r="AC118" i="10"/>
  <c r="AC117" i="10"/>
  <c r="AC116" i="10"/>
  <c r="AC115" i="10"/>
  <c r="AC114" i="10"/>
  <c r="AC113" i="10"/>
  <c r="AC112" i="10"/>
  <c r="AC111" i="10"/>
  <c r="AC110" i="10"/>
  <c r="AC109" i="10"/>
  <c r="AC108" i="10"/>
  <c r="AC107" i="10"/>
  <c r="AC106" i="10"/>
  <c r="AC105" i="10"/>
  <c r="AC104" i="10"/>
  <c r="AC103" i="10"/>
  <c r="AC102" i="10"/>
  <c r="AC101" i="10"/>
  <c r="AC100" i="10"/>
  <c r="AC99" i="10"/>
  <c r="AC98" i="10"/>
  <c r="AC97" i="10"/>
  <c r="AC96" i="10"/>
  <c r="AC95" i="10"/>
  <c r="AC94" i="10"/>
  <c r="AC93" i="10"/>
  <c r="AC92" i="10"/>
  <c r="AC91" i="10"/>
  <c r="AC90" i="10"/>
  <c r="AC89" i="10"/>
  <c r="AC88" i="10"/>
  <c r="AC87" i="10"/>
  <c r="AC86" i="10"/>
  <c r="AC85" i="10"/>
  <c r="AC84" i="10"/>
  <c r="AC83" i="10"/>
  <c r="AC82" i="10"/>
  <c r="AC81" i="10"/>
  <c r="AC80" i="10"/>
  <c r="AC79" i="10"/>
  <c r="AC78" i="10"/>
  <c r="AC77" i="10"/>
  <c r="AC76" i="10"/>
  <c r="AC75" i="10"/>
  <c r="AC74" i="10"/>
  <c r="AC73" i="10"/>
  <c r="AC72" i="10"/>
  <c r="AC71" i="10"/>
  <c r="AC70" i="10"/>
  <c r="AC69" i="10"/>
  <c r="AC68" i="10"/>
  <c r="AC67" i="10"/>
  <c r="AC66" i="10"/>
  <c r="AC65" i="10"/>
  <c r="AC64" i="10"/>
  <c r="AC63" i="10"/>
  <c r="AC62" i="10"/>
  <c r="AC61" i="10"/>
  <c r="AC60" i="10"/>
  <c r="AC59" i="10"/>
  <c r="AC58" i="10"/>
  <c r="AC57" i="10"/>
  <c r="AC56" i="10"/>
  <c r="AC55" i="10"/>
  <c r="AC54" i="10"/>
  <c r="AC53" i="10"/>
  <c r="AC52" i="10"/>
  <c r="AC51" i="10"/>
  <c r="AC50" i="10"/>
  <c r="AC49" i="10"/>
  <c r="AC48" i="10"/>
  <c r="AC47" i="10"/>
  <c r="AC46" i="10"/>
  <c r="AC45" i="10"/>
  <c r="AC44" i="10"/>
  <c r="AC43" i="10"/>
  <c r="AC42" i="10"/>
  <c r="AC41" i="10"/>
  <c r="AC40" i="10"/>
  <c r="AC39" i="10"/>
  <c r="AC38" i="10"/>
  <c r="AC37" i="10"/>
  <c r="AC36" i="10"/>
  <c r="AC35" i="10"/>
  <c r="AC34" i="10"/>
  <c r="AC33" i="10"/>
  <c r="AC32" i="10"/>
  <c r="AC31" i="10"/>
  <c r="AC30" i="10"/>
  <c r="AC29" i="10"/>
  <c r="AC28" i="10"/>
  <c r="AC27" i="10"/>
  <c r="AC26" i="10"/>
  <c r="AC25" i="10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AC12" i="10"/>
  <c r="AC11" i="10"/>
  <c r="AC10" i="10"/>
  <c r="AC9" i="10"/>
  <c r="AC8" i="10"/>
  <c r="AC7" i="10"/>
  <c r="AC6" i="10"/>
  <c r="AC5" i="10"/>
  <c r="AC4" i="10"/>
  <c r="AC3" i="10"/>
  <c r="AC2" i="10"/>
  <c r="B10" i="3"/>
  <c r="B8" i="3"/>
  <c r="D1" i="9" l="1"/>
  <c r="T24" i="10"/>
  <c r="T23" i="10"/>
  <c r="T16" i="10"/>
  <c r="T15" i="10"/>
  <c r="AA40" i="10"/>
  <c r="AA24" i="10"/>
  <c r="AA8" i="10"/>
  <c r="AA2" i="10"/>
  <c r="E4" i="10"/>
  <c r="B14" i="10"/>
  <c r="B13" i="10"/>
  <c r="B12" i="10"/>
  <c r="D8" i="3"/>
  <c r="D7" i="3"/>
  <c r="Z3" i="10"/>
  <c r="AA3" i="10" s="1"/>
  <c r="Z4" i="10"/>
  <c r="AA4" i="10" s="1"/>
  <c r="Z5" i="10"/>
  <c r="AA5" i="10" s="1"/>
  <c r="Z6" i="10"/>
  <c r="AA6" i="10" s="1"/>
  <c r="Z7" i="10"/>
  <c r="AA7" i="10" s="1"/>
  <c r="Z8" i="10"/>
  <c r="Z9" i="10"/>
  <c r="AA9" i="10" s="1"/>
  <c r="Z10" i="10"/>
  <c r="AA10" i="10" s="1"/>
  <c r="Z11" i="10"/>
  <c r="AA11" i="10" s="1"/>
  <c r="Z12" i="10"/>
  <c r="AA12" i="10" s="1"/>
  <c r="Z13" i="10"/>
  <c r="AA13" i="10" s="1"/>
  <c r="Z14" i="10"/>
  <c r="AA14" i="10" s="1"/>
  <c r="Z15" i="10"/>
  <c r="AA15" i="10" s="1"/>
  <c r="Z16" i="10"/>
  <c r="AA16" i="10" s="1"/>
  <c r="Z17" i="10"/>
  <c r="AA17" i="10" s="1"/>
  <c r="Z18" i="10"/>
  <c r="AA18" i="10" s="1"/>
  <c r="Z19" i="10"/>
  <c r="AA19" i="10" s="1"/>
  <c r="Z20" i="10"/>
  <c r="AA20" i="10" s="1"/>
  <c r="Z21" i="10"/>
  <c r="AA21" i="10" s="1"/>
  <c r="Z22" i="10"/>
  <c r="AA22" i="10" s="1"/>
  <c r="Z23" i="10"/>
  <c r="AA23" i="10" s="1"/>
  <c r="Z24" i="10"/>
  <c r="Z25" i="10"/>
  <c r="AA25" i="10" s="1"/>
  <c r="Z26" i="10"/>
  <c r="AA26" i="10" s="1"/>
  <c r="Z27" i="10"/>
  <c r="AA27" i="10" s="1"/>
  <c r="Z28" i="10"/>
  <c r="AA28" i="10" s="1"/>
  <c r="Z29" i="10"/>
  <c r="AA29" i="10" s="1"/>
  <c r="Z30" i="10"/>
  <c r="AA30" i="10" s="1"/>
  <c r="Z31" i="10"/>
  <c r="AA31" i="10" s="1"/>
  <c r="Z32" i="10"/>
  <c r="AA32" i="10" s="1"/>
  <c r="Z33" i="10"/>
  <c r="AA33" i="10" s="1"/>
  <c r="Z34" i="10"/>
  <c r="AA34" i="10" s="1"/>
  <c r="Z35" i="10"/>
  <c r="AA35" i="10" s="1"/>
  <c r="Z36" i="10"/>
  <c r="AA36" i="10" s="1"/>
  <c r="Z37" i="10"/>
  <c r="AA37" i="10" s="1"/>
  <c r="Z38" i="10"/>
  <c r="AA38" i="10" s="1"/>
  <c r="Z39" i="10"/>
  <c r="AA39" i="10" s="1"/>
  <c r="Z40" i="10"/>
  <c r="Z41" i="10"/>
  <c r="AA41" i="10" s="1"/>
  <c r="Z42" i="10"/>
  <c r="AA42" i="10" s="1"/>
  <c r="Z43" i="10"/>
  <c r="AA43" i="10" s="1"/>
  <c r="Z44" i="10"/>
  <c r="AA44" i="10" s="1"/>
  <c r="Z45" i="10"/>
  <c r="AA45" i="10" s="1"/>
  <c r="Z46" i="10"/>
  <c r="AA46" i="10" s="1"/>
  <c r="Z47" i="10"/>
  <c r="AA47" i="10" s="1"/>
  <c r="Z48" i="10"/>
  <c r="AA48" i="10" s="1"/>
  <c r="Z49" i="10"/>
  <c r="AA49" i="10" s="1"/>
  <c r="Z50" i="10"/>
  <c r="AA50" i="10" s="1"/>
  <c r="Z51" i="10"/>
  <c r="AA51" i="10" s="1"/>
  <c r="Z52" i="10"/>
  <c r="AA52" i="10" s="1"/>
  <c r="Z53" i="10"/>
  <c r="AA53" i="10" s="1"/>
  <c r="Z54" i="10"/>
  <c r="AA54" i="10" s="1"/>
  <c r="Z55" i="10"/>
  <c r="AA55" i="10" s="1"/>
  <c r="Z56" i="10"/>
  <c r="AA56" i="10" s="1"/>
  <c r="Z57" i="10"/>
  <c r="AA57" i="10" s="1"/>
  <c r="Z58" i="10"/>
  <c r="AA58" i="10" s="1"/>
  <c r="Z59" i="10"/>
  <c r="AA59" i="10" s="1"/>
  <c r="Z60" i="10"/>
  <c r="AA60" i="10" s="1"/>
  <c r="Z61" i="10"/>
  <c r="AA61" i="10" s="1"/>
  <c r="Z62" i="10"/>
  <c r="AA62" i="10" s="1"/>
  <c r="Z63" i="10"/>
  <c r="AA63" i="10" s="1"/>
  <c r="Z64" i="10"/>
  <c r="AA64" i="10" s="1"/>
  <c r="Z65" i="10"/>
  <c r="AA65" i="10" s="1"/>
  <c r="Z66" i="10"/>
  <c r="AA66" i="10" s="1"/>
  <c r="Z67" i="10"/>
  <c r="AA67" i="10" s="1"/>
  <c r="Z68" i="10"/>
  <c r="AA68" i="10" s="1"/>
  <c r="Z69" i="10"/>
  <c r="AA69" i="10" s="1"/>
  <c r="Z70" i="10"/>
  <c r="AA70" i="10" s="1"/>
  <c r="Z71" i="10"/>
  <c r="AA71" i="10" s="1"/>
  <c r="Z72" i="10"/>
  <c r="AA72" i="10" s="1"/>
  <c r="Z73" i="10"/>
  <c r="AA73" i="10" s="1"/>
  <c r="Z74" i="10"/>
  <c r="AA74" i="10" s="1"/>
  <c r="Z75" i="10"/>
  <c r="AA75" i="10" s="1"/>
  <c r="Z76" i="10"/>
  <c r="AA76" i="10" s="1"/>
  <c r="Z77" i="10"/>
  <c r="AA77" i="10" s="1"/>
  <c r="Z78" i="10"/>
  <c r="AA78" i="10" s="1"/>
  <c r="Z79" i="10"/>
  <c r="AA79" i="10" s="1"/>
  <c r="Z80" i="10"/>
  <c r="AA80" i="10" s="1"/>
  <c r="Z81" i="10"/>
  <c r="AA81" i="10" s="1"/>
  <c r="Z82" i="10"/>
  <c r="AA82" i="10" s="1"/>
  <c r="Z83" i="10"/>
  <c r="AA83" i="10" s="1"/>
  <c r="Z84" i="10"/>
  <c r="AA84" i="10" s="1"/>
  <c r="Z85" i="10"/>
  <c r="AA85" i="10" s="1"/>
  <c r="Z86" i="10"/>
  <c r="AA86" i="10" s="1"/>
  <c r="Z87" i="10"/>
  <c r="AA87" i="10" s="1"/>
  <c r="Z88" i="10"/>
  <c r="AA88" i="10" s="1"/>
  <c r="Z89" i="10"/>
  <c r="AA89" i="10" s="1"/>
  <c r="Z90" i="10"/>
  <c r="AA90" i="10" s="1"/>
  <c r="Z91" i="10"/>
  <c r="AA91" i="10" s="1"/>
  <c r="Z92" i="10"/>
  <c r="AA92" i="10" s="1"/>
  <c r="Z93" i="10"/>
  <c r="AA93" i="10" s="1"/>
  <c r="Z94" i="10"/>
  <c r="AA94" i="10" s="1"/>
  <c r="Z95" i="10"/>
  <c r="AA95" i="10" s="1"/>
  <c r="Z96" i="10"/>
  <c r="AA96" i="10" s="1"/>
  <c r="Z97" i="10"/>
  <c r="AA97" i="10" s="1"/>
  <c r="Z98" i="10"/>
  <c r="AA98" i="10" s="1"/>
  <c r="Z99" i="10"/>
  <c r="AA99" i="10" s="1"/>
  <c r="Z100" i="10"/>
  <c r="AA100" i="10" s="1"/>
  <c r="Z101" i="10"/>
  <c r="AA101" i="10" s="1"/>
  <c r="Z102" i="10"/>
  <c r="AA102" i="10" s="1"/>
  <c r="Z103" i="10"/>
  <c r="AA103" i="10" s="1"/>
  <c r="Z104" i="10"/>
  <c r="AA104" i="10" s="1"/>
  <c r="Z105" i="10"/>
  <c r="AA105" i="10" s="1"/>
  <c r="Z106" i="10"/>
  <c r="AA106" i="10" s="1"/>
  <c r="Z107" i="10"/>
  <c r="AA107" i="10" s="1"/>
  <c r="Z108" i="10"/>
  <c r="AA108" i="10" s="1"/>
  <c r="Z109" i="10"/>
  <c r="AA109" i="10" s="1"/>
  <c r="Z110" i="10"/>
  <c r="AA110" i="10" s="1"/>
  <c r="Z111" i="10"/>
  <c r="AA111" i="10" s="1"/>
  <c r="Z112" i="10"/>
  <c r="AA112" i="10" s="1"/>
  <c r="Z113" i="10"/>
  <c r="AA113" i="10" s="1"/>
  <c r="Z114" i="10"/>
  <c r="AA114" i="10" s="1"/>
  <c r="Z115" i="10"/>
  <c r="AA115" i="10" s="1"/>
  <c r="Z116" i="10"/>
  <c r="AA116" i="10" s="1"/>
  <c r="Z117" i="10"/>
  <c r="AA117" i="10" s="1"/>
  <c r="Z118" i="10"/>
  <c r="AA118" i="10" s="1"/>
  <c r="Z119" i="10"/>
  <c r="AA119" i="10" s="1"/>
  <c r="Z120" i="10"/>
  <c r="AA120" i="10" s="1"/>
  <c r="Z121" i="10"/>
  <c r="AA121" i="10" s="1"/>
  <c r="Z122" i="10"/>
  <c r="AA122" i="10" s="1"/>
  <c r="Z123" i="10"/>
  <c r="AA123" i="10" s="1"/>
  <c r="Z124" i="10"/>
  <c r="AA124" i="10" s="1"/>
  <c r="Z125" i="10"/>
  <c r="AA125" i="10" s="1"/>
  <c r="Z126" i="10"/>
  <c r="AA126" i="10" s="1"/>
  <c r="Z127" i="10"/>
  <c r="AA127" i="10" s="1"/>
  <c r="Z128" i="10"/>
  <c r="AA128" i="10" s="1"/>
  <c r="Z129" i="10"/>
  <c r="AA129" i="10" s="1"/>
  <c r="Z130" i="10"/>
  <c r="AA130" i="10" s="1"/>
  <c r="Z131" i="10"/>
  <c r="AA131" i="10" s="1"/>
  <c r="Z132" i="10"/>
  <c r="AA132" i="10" s="1"/>
  <c r="Z133" i="10"/>
  <c r="AA133" i="10" s="1"/>
  <c r="Z134" i="10"/>
  <c r="AA134" i="10" s="1"/>
  <c r="Z135" i="10"/>
  <c r="AA135" i="10" s="1"/>
  <c r="Z136" i="10"/>
  <c r="AA136" i="10" s="1"/>
  <c r="Z137" i="10"/>
  <c r="AA137" i="10" s="1"/>
  <c r="Z138" i="10"/>
  <c r="AA138" i="10" s="1"/>
  <c r="Z139" i="10"/>
  <c r="AA139" i="10" s="1"/>
  <c r="Z140" i="10"/>
  <c r="AA140" i="10" s="1"/>
  <c r="Z141" i="10"/>
  <c r="AA141" i="10" s="1"/>
  <c r="Z142" i="10"/>
  <c r="AA142" i="10" s="1"/>
  <c r="Z143" i="10"/>
  <c r="AA143" i="10" s="1"/>
  <c r="Z144" i="10"/>
  <c r="AA144" i="10" s="1"/>
  <c r="Z145" i="10"/>
  <c r="AA145" i="10" s="1"/>
  <c r="Z146" i="10"/>
  <c r="AA146" i="10" s="1"/>
  <c r="Z147" i="10"/>
  <c r="AA147" i="10" s="1"/>
  <c r="Z148" i="10"/>
  <c r="AA148" i="10" s="1"/>
  <c r="Z149" i="10"/>
  <c r="AA149" i="10" s="1"/>
  <c r="Z150" i="10"/>
  <c r="AA150" i="10" s="1"/>
  <c r="Z151" i="10"/>
  <c r="AA151" i="10" s="1"/>
  <c r="Z152" i="10"/>
  <c r="AA152" i="10" s="1"/>
  <c r="Z153" i="10"/>
  <c r="AA153" i="10" s="1"/>
  <c r="Z154" i="10"/>
  <c r="AA154" i="10" s="1"/>
  <c r="Z155" i="10"/>
  <c r="AA155" i="10" s="1"/>
  <c r="Z156" i="10"/>
  <c r="AA156" i="10" s="1"/>
  <c r="Z157" i="10"/>
  <c r="AA157" i="10" s="1"/>
  <c r="Z158" i="10"/>
  <c r="AA158" i="10" s="1"/>
  <c r="Z159" i="10"/>
  <c r="AA159" i="10" s="1"/>
  <c r="Z160" i="10"/>
  <c r="AA160" i="10" s="1"/>
  <c r="Z161" i="10"/>
  <c r="AA161" i="10" s="1"/>
  <c r="Z162" i="10"/>
  <c r="AA162" i="10" s="1"/>
  <c r="Z163" i="10"/>
  <c r="AA163" i="10" s="1"/>
  <c r="Z164" i="10"/>
  <c r="AA164" i="10" s="1"/>
  <c r="Z165" i="10"/>
  <c r="AA165" i="10" s="1"/>
  <c r="Z166" i="10"/>
  <c r="AA166" i="10" s="1"/>
  <c r="Z167" i="10"/>
  <c r="AA167" i="10" s="1"/>
  <c r="Z168" i="10"/>
  <c r="AA168" i="10" s="1"/>
  <c r="Z169" i="10"/>
  <c r="AA169" i="10" s="1"/>
  <c r="Z170" i="10"/>
  <c r="AA170" i="10" s="1"/>
  <c r="Z171" i="10"/>
  <c r="AA171" i="10" s="1"/>
  <c r="Z172" i="10"/>
  <c r="AA172" i="10" s="1"/>
  <c r="Z173" i="10"/>
  <c r="AA173" i="10" s="1"/>
  <c r="Z174" i="10"/>
  <c r="AA174" i="10" s="1"/>
  <c r="Z175" i="10"/>
  <c r="AA175" i="10" s="1"/>
  <c r="Z176" i="10"/>
  <c r="AA176" i="10" s="1"/>
  <c r="Z177" i="10"/>
  <c r="AA177" i="10" s="1"/>
  <c r="Z178" i="10"/>
  <c r="AA178" i="10" s="1"/>
  <c r="Z179" i="10"/>
  <c r="AA179" i="10" s="1"/>
  <c r="Z180" i="10"/>
  <c r="AA180" i="10" s="1"/>
  <c r="Z181" i="10"/>
  <c r="AA181" i="10" s="1"/>
  <c r="Z182" i="10"/>
  <c r="AA182" i="10" s="1"/>
  <c r="Z183" i="10"/>
  <c r="AA183" i="10" s="1"/>
  <c r="Z184" i="10"/>
  <c r="AA184" i="10" s="1"/>
  <c r="Z185" i="10"/>
  <c r="AA185" i="10" s="1"/>
  <c r="Z186" i="10"/>
  <c r="AA186" i="10" s="1"/>
  <c r="Z187" i="10"/>
  <c r="AA187" i="10" s="1"/>
  <c r="Z188" i="10"/>
  <c r="AA188" i="10" s="1"/>
  <c r="Z189" i="10"/>
  <c r="AA189" i="10" s="1"/>
  <c r="Z190" i="10"/>
  <c r="AA190" i="10" s="1"/>
  <c r="Z191" i="10"/>
  <c r="AA191" i="10" s="1"/>
  <c r="Z192" i="10"/>
  <c r="AA192" i="10" s="1"/>
  <c r="Z193" i="10"/>
  <c r="AA193" i="10" s="1"/>
  <c r="Z194" i="10"/>
  <c r="AA194" i="10" s="1"/>
  <c r="Z195" i="10"/>
  <c r="AA195" i="10" s="1"/>
  <c r="Z196" i="10"/>
  <c r="AA196" i="10" s="1"/>
  <c r="Z197" i="10"/>
  <c r="AA197" i="10" s="1"/>
  <c r="Z198" i="10"/>
  <c r="AA198" i="10" s="1"/>
  <c r="Z199" i="10"/>
  <c r="AA199" i="10" s="1"/>
  <c r="Z200" i="10"/>
  <c r="AA200" i="10" s="1"/>
  <c r="Z201" i="10"/>
  <c r="AA201" i="10" s="1"/>
  <c r="Z202" i="10"/>
  <c r="AA202" i="10" s="1"/>
  <c r="Z2" i="10"/>
  <c r="C3" i="12"/>
  <c r="B3" i="8"/>
  <c r="B5" i="8" s="1"/>
  <c r="B2" i="8"/>
  <c r="B3" i="9"/>
  <c r="B4" i="6"/>
  <c r="C15" i="6"/>
  <c r="C14" i="6"/>
  <c r="B7" i="5"/>
  <c r="B6" i="5"/>
  <c r="D2" i="12"/>
  <c r="B2" i="12"/>
  <c r="C2" i="12"/>
  <c r="B11" i="5"/>
  <c r="T7" i="10" s="1"/>
  <c r="B4" i="5"/>
  <c r="B3" i="4"/>
  <c r="B5" i="4" s="1"/>
  <c r="B8" i="4"/>
  <c r="B11" i="4"/>
  <c r="T4" i="10" s="1"/>
  <c r="B6" i="4"/>
  <c r="T2" i="10"/>
  <c r="W1" i="10" s="1"/>
  <c r="A8" i="3"/>
  <c r="A9" i="3"/>
  <c r="A7" i="3"/>
  <c r="T6" i="10"/>
  <c r="T3" i="10"/>
  <c r="T1" i="10"/>
  <c r="T19" i="10" l="1"/>
  <c r="T20" i="10"/>
  <c r="T21" i="10"/>
  <c r="AK2" i="10"/>
  <c r="T22" i="10"/>
  <c r="W3" i="10"/>
  <c r="B5" i="6"/>
  <c r="B6" i="9"/>
  <c r="B6" i="6"/>
  <c r="E3" i="4"/>
  <c r="E2" i="4"/>
  <c r="D8" i="4"/>
  <c r="T5" i="10"/>
  <c r="W4" i="10"/>
  <c r="AB2" i="10"/>
  <c r="AL198" i="10" l="1"/>
  <c r="AL157" i="10"/>
  <c r="AL88" i="10"/>
  <c r="AM16" i="10"/>
  <c r="AL158" i="10"/>
  <c r="AL91" i="10"/>
  <c r="AL187" i="10"/>
  <c r="AL59" i="10"/>
  <c r="AL184" i="10"/>
  <c r="AL56" i="10"/>
  <c r="AL126" i="10"/>
  <c r="AL153" i="10"/>
  <c r="AL27" i="10"/>
  <c r="AL152" i="10"/>
  <c r="AL24" i="10"/>
  <c r="AL94" i="10"/>
  <c r="AL123" i="10"/>
  <c r="AL189" i="10"/>
  <c r="AL120" i="10"/>
  <c r="AL190" i="10"/>
  <c r="AL137" i="10"/>
  <c r="AL75" i="10"/>
  <c r="AL11" i="10"/>
  <c r="AL200" i="10"/>
  <c r="AL136" i="10"/>
  <c r="AL72" i="10"/>
  <c r="AL8" i="10"/>
  <c r="AL142" i="10"/>
  <c r="AL171" i="10"/>
  <c r="AL107" i="10"/>
  <c r="AL43" i="10"/>
  <c r="AL173" i="10"/>
  <c r="AL168" i="10"/>
  <c r="AL104" i="10"/>
  <c r="AL40" i="10"/>
  <c r="AL174" i="10"/>
  <c r="AL110" i="10"/>
  <c r="AL39" i="10"/>
  <c r="AL194" i="10"/>
  <c r="AL162" i="10"/>
  <c r="AL130" i="10"/>
  <c r="AL98" i="10"/>
  <c r="AL66" i="10"/>
  <c r="AL34" i="10"/>
  <c r="AL196" i="10"/>
  <c r="AL164" i="10"/>
  <c r="AL193" i="10"/>
  <c r="AL161" i="10"/>
  <c r="AL129" i="10"/>
  <c r="AL97" i="10"/>
  <c r="AL65" i="10"/>
  <c r="AL33" i="10"/>
  <c r="AL199" i="10"/>
  <c r="AL167" i="10"/>
  <c r="AL135" i="10"/>
  <c r="AL103" i="10"/>
  <c r="AL178" i="10"/>
  <c r="AL146" i="10"/>
  <c r="AL114" i="10"/>
  <c r="AL82" i="10"/>
  <c r="AL50" i="10"/>
  <c r="AL18" i="10"/>
  <c r="AL180" i="10"/>
  <c r="AL148" i="10"/>
  <c r="AL177" i="10"/>
  <c r="AL145" i="10"/>
  <c r="AL113" i="10"/>
  <c r="AL81" i="10"/>
  <c r="AL49" i="10"/>
  <c r="AL17" i="10"/>
  <c r="AL183" i="10"/>
  <c r="AL151" i="10"/>
  <c r="AL119" i="10"/>
  <c r="AL62" i="10"/>
  <c r="AL23" i="10"/>
  <c r="AL87" i="10"/>
  <c r="AL78" i="10"/>
  <c r="AL71" i="10"/>
  <c r="AL7" i="10"/>
  <c r="AM156" i="10"/>
  <c r="AM142" i="10"/>
  <c r="AL55" i="10"/>
  <c r="AM149" i="10"/>
  <c r="AL46" i="10"/>
  <c r="AL30" i="10"/>
  <c r="AL14" i="10"/>
  <c r="AL2" i="10"/>
  <c r="AL29" i="10"/>
  <c r="AL93" i="10"/>
  <c r="AL201" i="10"/>
  <c r="AL84" i="10"/>
  <c r="AL20" i="10"/>
  <c r="AL47" i="10"/>
  <c r="AL111" i="10"/>
  <c r="AL22" i="10"/>
  <c r="AL86" i="10"/>
  <c r="AL185" i="10"/>
  <c r="AL169" i="10"/>
  <c r="AL155" i="10"/>
  <c r="AL144" i="10"/>
  <c r="AM135" i="10"/>
  <c r="AL121" i="10"/>
  <c r="AL105" i="10"/>
  <c r="AL89" i="10"/>
  <c r="AL73" i="10"/>
  <c r="AL57" i="10"/>
  <c r="AL41" i="10"/>
  <c r="AL25" i="10"/>
  <c r="AL9" i="10"/>
  <c r="AL182" i="10"/>
  <c r="AL166" i="10"/>
  <c r="AL150" i="10"/>
  <c r="AL195" i="10"/>
  <c r="AL179" i="10"/>
  <c r="AL163" i="10"/>
  <c r="AL147" i="10"/>
  <c r="AL131" i="10"/>
  <c r="AL115" i="10"/>
  <c r="AL99" i="10"/>
  <c r="AL83" i="10"/>
  <c r="AL67" i="10"/>
  <c r="AL51" i="10"/>
  <c r="AL35" i="10"/>
  <c r="AL19" i="10"/>
  <c r="AL3" i="10"/>
  <c r="AL188" i="10"/>
  <c r="AL172" i="10"/>
  <c r="AL156" i="10"/>
  <c r="AL140" i="10"/>
  <c r="AL124" i="10"/>
  <c r="AL108" i="10"/>
  <c r="AL92" i="10"/>
  <c r="AL76" i="10"/>
  <c r="AL60" i="10"/>
  <c r="AL44" i="10"/>
  <c r="AL28" i="10"/>
  <c r="AL12" i="10"/>
  <c r="AL45" i="10"/>
  <c r="AL109" i="10"/>
  <c r="AL132" i="10"/>
  <c r="AL68" i="10"/>
  <c r="AL4" i="10"/>
  <c r="AL63" i="10"/>
  <c r="AL127" i="10"/>
  <c r="AL38" i="10"/>
  <c r="AL102" i="10"/>
  <c r="AL61" i="10"/>
  <c r="AL125" i="10"/>
  <c r="AL116" i="10"/>
  <c r="AL52" i="10"/>
  <c r="AL15" i="10"/>
  <c r="AL79" i="10"/>
  <c r="AL143" i="10"/>
  <c r="AL54" i="10"/>
  <c r="AL118" i="10"/>
  <c r="AL192" i="10"/>
  <c r="AL176" i="10"/>
  <c r="AL160" i="10"/>
  <c r="AL139" i="10"/>
  <c r="AL128" i="10"/>
  <c r="AL112" i="10"/>
  <c r="AL96" i="10"/>
  <c r="AL80" i="10"/>
  <c r="AL64" i="10"/>
  <c r="AL48" i="10"/>
  <c r="AL32" i="10"/>
  <c r="AL16" i="10"/>
  <c r="AL191" i="10"/>
  <c r="AL175" i="10"/>
  <c r="AL159" i="10"/>
  <c r="AL202" i="10"/>
  <c r="AL186" i="10"/>
  <c r="AL170" i="10"/>
  <c r="AL154" i="10"/>
  <c r="AL138" i="10"/>
  <c r="AL122" i="10"/>
  <c r="AL106" i="10"/>
  <c r="AL90" i="10"/>
  <c r="AL74" i="10"/>
  <c r="AL58" i="10"/>
  <c r="AL42" i="10"/>
  <c r="AL26" i="10"/>
  <c r="AL10" i="10"/>
  <c r="AL197" i="10"/>
  <c r="AL181" i="10"/>
  <c r="AL165" i="10"/>
  <c r="AL149" i="10"/>
  <c r="AL133" i="10"/>
  <c r="AL117" i="10"/>
  <c r="AL101" i="10"/>
  <c r="AL85" i="10"/>
  <c r="AL69" i="10"/>
  <c r="AL53" i="10"/>
  <c r="AL37" i="10"/>
  <c r="AL21" i="10"/>
  <c r="AL5" i="10"/>
  <c r="AL13" i="10"/>
  <c r="AL77" i="10"/>
  <c r="AL141" i="10"/>
  <c r="AL100" i="10"/>
  <c r="AL36" i="10"/>
  <c r="AL31" i="10"/>
  <c r="AL95" i="10"/>
  <c r="AL6" i="10"/>
  <c r="AL70" i="10"/>
  <c r="AL134" i="10"/>
  <c r="AM92" i="10"/>
  <c r="AM85" i="10"/>
  <c r="AM28" i="10"/>
  <c r="AM21" i="10"/>
  <c r="AM7" i="10"/>
  <c r="AM34" i="10"/>
  <c r="AM198" i="10"/>
  <c r="AN198" i="10" s="1"/>
  <c r="AP198" i="10" s="1"/>
  <c r="AM191" i="10"/>
  <c r="AM148" i="10"/>
  <c r="AM141" i="10"/>
  <c r="AM134" i="10"/>
  <c r="AM127" i="10"/>
  <c r="AM84" i="10"/>
  <c r="AM77" i="10"/>
  <c r="AM70" i="10"/>
  <c r="AM63" i="10"/>
  <c r="AM121" i="10"/>
  <c r="AM91" i="10"/>
  <c r="AM200" i="10"/>
  <c r="AM193" i="10"/>
  <c r="AM186" i="10"/>
  <c r="AM179" i="10"/>
  <c r="AM136" i="10"/>
  <c r="AM129" i="10"/>
  <c r="AM122" i="10"/>
  <c r="AM115" i="10"/>
  <c r="AM72" i="10"/>
  <c r="AM65" i="10"/>
  <c r="AM58" i="10"/>
  <c r="AM51" i="10"/>
  <c r="AM98" i="10"/>
  <c r="AM80" i="10"/>
  <c r="AM18" i="10"/>
  <c r="AM172" i="10"/>
  <c r="AM165" i="10"/>
  <c r="AM158" i="10"/>
  <c r="AM151" i="10"/>
  <c r="AM108" i="10"/>
  <c r="AM101" i="10"/>
  <c r="AM94" i="10"/>
  <c r="AM87" i="10"/>
  <c r="AM44" i="10"/>
  <c r="AM37" i="10"/>
  <c r="AM30" i="10"/>
  <c r="AM23" i="10"/>
  <c r="AM2" i="10"/>
  <c r="AM192" i="10"/>
  <c r="AM185" i="10"/>
  <c r="AM176" i="10"/>
  <c r="AM169" i="10"/>
  <c r="AM160" i="10"/>
  <c r="AM153" i="10"/>
  <c r="AM144" i="10"/>
  <c r="AM64" i="10"/>
  <c r="AM164" i="10"/>
  <c r="AM157" i="10"/>
  <c r="AN157" i="10" s="1"/>
  <c r="AO157" i="10" s="1"/>
  <c r="AR157" i="10" s="1"/>
  <c r="AM150" i="10"/>
  <c r="AM143" i="10"/>
  <c r="AM100" i="10"/>
  <c r="AM93" i="10"/>
  <c r="AM86" i="10"/>
  <c r="AM79" i="10"/>
  <c r="AM36" i="10"/>
  <c r="AM29" i="10"/>
  <c r="AM20" i="10"/>
  <c r="AM13" i="10"/>
  <c r="AM4" i="10"/>
  <c r="AM123" i="10"/>
  <c r="AM27" i="10"/>
  <c r="AM202" i="10"/>
  <c r="AM195" i="10"/>
  <c r="AM152" i="10"/>
  <c r="AM145" i="10"/>
  <c r="AM138" i="10"/>
  <c r="AM131" i="10"/>
  <c r="AM88" i="10"/>
  <c r="AM81" i="10"/>
  <c r="AM74" i="10"/>
  <c r="AM67" i="10"/>
  <c r="AM137" i="10"/>
  <c r="AM107" i="10"/>
  <c r="AM82" i="10"/>
  <c r="AM57" i="10"/>
  <c r="AM25" i="10"/>
  <c r="AM78" i="10"/>
  <c r="AM71" i="10"/>
  <c r="AM14" i="10"/>
  <c r="AM201" i="10"/>
  <c r="AM197" i="10"/>
  <c r="AM188" i="10"/>
  <c r="AM181" i="10"/>
  <c r="AM174" i="10"/>
  <c r="AM167" i="10"/>
  <c r="AM124" i="10"/>
  <c r="AM117" i="10"/>
  <c r="AM110" i="10"/>
  <c r="AM103" i="10"/>
  <c r="AM60" i="10"/>
  <c r="AM53" i="10"/>
  <c r="AM46" i="10"/>
  <c r="AM39" i="10"/>
  <c r="AM194" i="10"/>
  <c r="AM187" i="10"/>
  <c r="AM178" i="10"/>
  <c r="AM171" i="10"/>
  <c r="AM162" i="10"/>
  <c r="AM155" i="10"/>
  <c r="AM146" i="10"/>
  <c r="AM128" i="10"/>
  <c r="AM66" i="10"/>
  <c r="AM48" i="10"/>
  <c r="AM180" i="10"/>
  <c r="AM173" i="10"/>
  <c r="AM166" i="10"/>
  <c r="AM159" i="10"/>
  <c r="AM116" i="10"/>
  <c r="AM109" i="10"/>
  <c r="AM102" i="10"/>
  <c r="AM95" i="10"/>
  <c r="AM52" i="10"/>
  <c r="AM45" i="10"/>
  <c r="AM38" i="10"/>
  <c r="AM31" i="10"/>
  <c r="AM22" i="10"/>
  <c r="AM15" i="10"/>
  <c r="AM6" i="10"/>
  <c r="AM105" i="10"/>
  <c r="AM73" i="10"/>
  <c r="AM168" i="10"/>
  <c r="AM161" i="10"/>
  <c r="AM154" i="10"/>
  <c r="AM147" i="10"/>
  <c r="AM104" i="10"/>
  <c r="AM97" i="10"/>
  <c r="AM90" i="10"/>
  <c r="AM83" i="10"/>
  <c r="AM40" i="10"/>
  <c r="AM33" i="10"/>
  <c r="AM24" i="10"/>
  <c r="AM17" i="10"/>
  <c r="AM8" i="10"/>
  <c r="AM112" i="10"/>
  <c r="AM89" i="10"/>
  <c r="AM59" i="10"/>
  <c r="AM9" i="10"/>
  <c r="AM199" i="10"/>
  <c r="AM190" i="10"/>
  <c r="AM183" i="10"/>
  <c r="AM140" i="10"/>
  <c r="AM133" i="10"/>
  <c r="AM126" i="10"/>
  <c r="AM119" i="10"/>
  <c r="AM76" i="10"/>
  <c r="AM69" i="10"/>
  <c r="AM62" i="10"/>
  <c r="AM55" i="10"/>
  <c r="AM12" i="10"/>
  <c r="AM5" i="10"/>
  <c r="AM130" i="10"/>
  <c r="AM50" i="10"/>
  <c r="AM32" i="10"/>
  <c r="AM196" i="10"/>
  <c r="AM189" i="10"/>
  <c r="AM182" i="10"/>
  <c r="AM175" i="10"/>
  <c r="AM132" i="10"/>
  <c r="AM125" i="10"/>
  <c r="AM118" i="10"/>
  <c r="AM111" i="10"/>
  <c r="AM68" i="10"/>
  <c r="AM61" i="10"/>
  <c r="AM54" i="10"/>
  <c r="AM47" i="10"/>
  <c r="AM139" i="10"/>
  <c r="AM43" i="10"/>
  <c r="AM11" i="10"/>
  <c r="AM184" i="10"/>
  <c r="AM177" i="10"/>
  <c r="AM170" i="10"/>
  <c r="AM163" i="10"/>
  <c r="AM120" i="10"/>
  <c r="AM113" i="10"/>
  <c r="AM106" i="10"/>
  <c r="AM99" i="10"/>
  <c r="AM56" i="10"/>
  <c r="AM49" i="10"/>
  <c r="AM42" i="10"/>
  <c r="AM35" i="10"/>
  <c r="AM26" i="10"/>
  <c r="AM19" i="10"/>
  <c r="AM10" i="10"/>
  <c r="AM3" i="10"/>
  <c r="AM114" i="10"/>
  <c r="AM96" i="10"/>
  <c r="AM75" i="10"/>
  <c r="AM41" i="10"/>
  <c r="B7" i="9"/>
  <c r="B8" i="9" s="1"/>
  <c r="E5" i="5"/>
  <c r="B2" i="5"/>
  <c r="B4" i="8"/>
  <c r="W5" i="10"/>
  <c r="W2" i="10"/>
  <c r="AE151" i="10" s="1"/>
  <c r="AN56" i="10" l="1"/>
  <c r="AP56" i="10" s="1"/>
  <c r="AN104" i="10"/>
  <c r="AP104" i="10" s="1"/>
  <c r="AN39" i="10"/>
  <c r="AP39" i="10" s="1"/>
  <c r="AN167" i="10"/>
  <c r="AO167" i="10" s="1"/>
  <c r="AR167" i="10" s="1"/>
  <c r="AN107" i="10"/>
  <c r="AO107" i="10" s="1"/>
  <c r="AR107" i="10" s="1"/>
  <c r="AN190" i="10"/>
  <c r="AO190" i="10" s="1"/>
  <c r="AR190" i="10" s="1"/>
  <c r="AN98" i="10"/>
  <c r="AP98" i="10" s="1"/>
  <c r="AN72" i="10"/>
  <c r="AP72" i="10" s="1"/>
  <c r="AN86" i="10"/>
  <c r="AP86" i="10" s="1"/>
  <c r="AN150" i="10"/>
  <c r="AP150" i="10" s="1"/>
  <c r="AN87" i="10"/>
  <c r="AO87" i="10" s="1"/>
  <c r="AR87" i="10" s="1"/>
  <c r="AN151" i="10"/>
  <c r="AP151" i="10" s="1"/>
  <c r="AN148" i="10"/>
  <c r="AO148" i="10" s="1"/>
  <c r="AR148" i="10" s="1"/>
  <c r="AN16" i="10"/>
  <c r="AO16" i="10" s="1"/>
  <c r="AR16" i="10" s="1"/>
  <c r="AN65" i="10"/>
  <c r="AO65" i="10" s="1"/>
  <c r="AR65" i="10" s="1"/>
  <c r="AN50" i="10"/>
  <c r="AP50" i="10" s="1"/>
  <c r="AN119" i="10"/>
  <c r="AO119" i="10" s="1"/>
  <c r="AR119" i="10" s="1"/>
  <c r="AN178" i="10"/>
  <c r="AP178" i="10" s="1"/>
  <c r="AN110" i="10"/>
  <c r="AP110" i="10" s="1"/>
  <c r="AN137" i="10"/>
  <c r="AO137" i="10" s="1"/>
  <c r="AR137" i="10" s="1"/>
  <c r="AN123" i="10"/>
  <c r="AO123" i="10" s="1"/>
  <c r="AR123" i="10" s="1"/>
  <c r="AN113" i="10"/>
  <c r="AO113" i="10" s="1"/>
  <c r="AR113" i="10" s="1"/>
  <c r="AN102" i="10"/>
  <c r="AO102" i="10" s="1"/>
  <c r="AR102" i="10" s="1"/>
  <c r="AN66" i="10"/>
  <c r="AO66" i="10" s="1"/>
  <c r="AR66" i="10" s="1"/>
  <c r="AN194" i="10"/>
  <c r="AP194" i="10" s="1"/>
  <c r="AN60" i="10"/>
  <c r="AO60" i="10" s="1"/>
  <c r="AR60" i="10" s="1"/>
  <c r="AN11" i="10"/>
  <c r="AP11" i="10" s="1"/>
  <c r="AN183" i="10"/>
  <c r="AO183" i="10" s="1"/>
  <c r="AR183" i="10" s="1"/>
  <c r="AN180" i="10"/>
  <c r="AP180" i="10" s="1"/>
  <c r="AN88" i="10"/>
  <c r="AP88" i="10" s="1"/>
  <c r="AN120" i="10"/>
  <c r="AO120" i="10" s="1"/>
  <c r="AR120" i="10" s="1"/>
  <c r="AN76" i="10"/>
  <c r="AO76" i="10" s="1"/>
  <c r="AR76" i="10" s="1"/>
  <c r="AN8" i="10"/>
  <c r="AO8" i="10" s="1"/>
  <c r="AR8" i="10" s="1"/>
  <c r="AN40" i="10"/>
  <c r="AP40" i="10" s="1"/>
  <c r="AN145" i="10"/>
  <c r="AP145" i="10" s="1"/>
  <c r="AN200" i="10"/>
  <c r="AP200" i="10" s="1"/>
  <c r="AN43" i="10"/>
  <c r="AO43" i="10" s="1"/>
  <c r="AR43" i="10" s="1"/>
  <c r="AN126" i="10"/>
  <c r="AO126" i="10" s="1"/>
  <c r="AR126" i="10" s="1"/>
  <c r="AN24" i="10"/>
  <c r="AP24" i="10" s="1"/>
  <c r="AN187" i="10"/>
  <c r="AP187" i="10" s="1"/>
  <c r="AN193" i="10"/>
  <c r="AO193" i="10" s="1"/>
  <c r="AR193" i="10" s="1"/>
  <c r="AN184" i="10"/>
  <c r="AO184" i="10" s="1"/>
  <c r="AR184" i="10" s="1"/>
  <c r="AN168" i="10"/>
  <c r="AP168" i="10" s="1"/>
  <c r="AN173" i="10"/>
  <c r="AP173" i="10" s="1"/>
  <c r="AN171" i="10"/>
  <c r="AO171" i="10" s="1"/>
  <c r="AR171" i="10" s="1"/>
  <c r="AN27" i="10"/>
  <c r="AP27" i="10" s="1"/>
  <c r="AN136" i="10"/>
  <c r="AO136" i="10" s="1"/>
  <c r="AR136" i="10" s="1"/>
  <c r="AN158" i="10"/>
  <c r="AP158" i="10" s="1"/>
  <c r="AN59" i="10"/>
  <c r="AO59" i="10" s="1"/>
  <c r="AR59" i="10" s="1"/>
  <c r="AN91" i="10"/>
  <c r="AP91" i="10" s="1"/>
  <c r="AN152" i="10"/>
  <c r="AO152" i="10" s="1"/>
  <c r="AR152" i="10" s="1"/>
  <c r="AN75" i="10"/>
  <c r="AP75" i="10" s="1"/>
  <c r="AN189" i="10"/>
  <c r="AP189" i="10" s="1"/>
  <c r="AN62" i="10"/>
  <c r="AP62" i="10" s="1"/>
  <c r="AN18" i="10"/>
  <c r="AO18" i="10" s="1"/>
  <c r="AR18" i="10" s="1"/>
  <c r="AN153" i="10"/>
  <c r="AP153" i="10" s="1"/>
  <c r="AN94" i="10"/>
  <c r="AO94" i="10" s="1"/>
  <c r="AR94" i="10" s="1"/>
  <c r="AN97" i="10"/>
  <c r="AP97" i="10" s="1"/>
  <c r="AN164" i="10"/>
  <c r="AO164" i="10" s="1"/>
  <c r="AR164" i="10" s="1"/>
  <c r="AN17" i="10"/>
  <c r="AO17" i="10" s="1"/>
  <c r="AR17" i="10" s="1"/>
  <c r="AN146" i="10"/>
  <c r="AO146" i="10" s="1"/>
  <c r="AR146" i="10" s="1"/>
  <c r="AN174" i="10"/>
  <c r="AP174" i="10" s="1"/>
  <c r="AN34" i="10"/>
  <c r="AO34" i="10" s="1"/>
  <c r="AR34" i="10" s="1"/>
  <c r="AN142" i="10"/>
  <c r="AO142" i="10" s="1"/>
  <c r="AR142" i="10" s="1"/>
  <c r="AN23" i="10"/>
  <c r="AO23" i="10" s="1"/>
  <c r="AR23" i="10" s="1"/>
  <c r="AN114" i="10"/>
  <c r="AO114" i="10" s="1"/>
  <c r="AR114" i="10" s="1"/>
  <c r="AN135" i="10"/>
  <c r="AO135" i="10" s="1"/>
  <c r="AR135" i="10" s="1"/>
  <c r="AN130" i="10"/>
  <c r="AO130" i="10" s="1"/>
  <c r="AR130" i="10" s="1"/>
  <c r="AN49" i="10"/>
  <c r="AP49" i="10" s="1"/>
  <c r="AN177" i="10"/>
  <c r="AP177" i="10" s="1"/>
  <c r="AN196" i="10"/>
  <c r="AO196" i="10" s="1"/>
  <c r="AR196" i="10" s="1"/>
  <c r="AN199" i="10"/>
  <c r="AO199" i="10" s="1"/>
  <c r="AR199" i="10" s="1"/>
  <c r="AN33" i="10"/>
  <c r="AO33" i="10" s="1"/>
  <c r="AR33" i="10" s="1"/>
  <c r="AN161" i="10"/>
  <c r="AP161" i="10" s="1"/>
  <c r="AN162" i="10"/>
  <c r="AP162" i="10" s="1"/>
  <c r="AN82" i="10"/>
  <c r="AP82" i="10" s="1"/>
  <c r="AN129" i="10"/>
  <c r="AO129" i="10" s="1"/>
  <c r="AR129" i="10" s="1"/>
  <c r="AN103" i="10"/>
  <c r="AO103" i="10" s="1"/>
  <c r="AR103" i="10" s="1"/>
  <c r="AN81" i="10"/>
  <c r="AO81" i="10" s="1"/>
  <c r="AR81" i="10" s="1"/>
  <c r="AN73" i="10"/>
  <c r="AP73" i="10" s="1"/>
  <c r="AN22" i="10"/>
  <c r="AP22" i="10" s="1"/>
  <c r="AN38" i="10"/>
  <c r="AP38" i="10" s="1"/>
  <c r="AN77" i="10"/>
  <c r="AP77" i="10" s="1"/>
  <c r="AN54" i="10"/>
  <c r="AP54" i="10" s="1"/>
  <c r="AN26" i="10"/>
  <c r="AO26" i="10" s="1"/>
  <c r="AR26" i="10" s="1"/>
  <c r="AN32" i="10"/>
  <c r="AO32" i="10" s="1"/>
  <c r="AR32" i="10" s="1"/>
  <c r="AN45" i="10"/>
  <c r="AO45" i="10" s="1"/>
  <c r="AR45" i="10" s="1"/>
  <c r="AN128" i="10"/>
  <c r="AO128" i="10" s="1"/>
  <c r="AR128" i="10" s="1"/>
  <c r="AN78" i="10"/>
  <c r="AP78" i="10" s="1"/>
  <c r="AN160" i="10"/>
  <c r="AP160" i="10" s="1"/>
  <c r="AN37" i="10"/>
  <c r="AP37" i="10" s="1"/>
  <c r="AN31" i="10"/>
  <c r="AO31" i="10" s="1"/>
  <c r="AR31" i="10" s="1"/>
  <c r="AN159" i="10"/>
  <c r="AP159" i="10" s="1"/>
  <c r="AN14" i="10"/>
  <c r="AP14" i="10" s="1"/>
  <c r="AN57" i="10"/>
  <c r="AP57" i="10" s="1"/>
  <c r="AN58" i="10"/>
  <c r="AO58" i="10" s="1"/>
  <c r="AR58" i="10" s="1"/>
  <c r="AN121" i="10"/>
  <c r="AP121" i="10" s="1"/>
  <c r="AN7" i="10"/>
  <c r="AP7" i="10" s="1"/>
  <c r="AN92" i="10"/>
  <c r="AO92" i="10" s="1"/>
  <c r="AR92" i="10" s="1"/>
  <c r="AN48" i="10"/>
  <c r="AO48" i="10" s="1"/>
  <c r="AR48" i="10" s="1"/>
  <c r="AN106" i="10"/>
  <c r="AP106" i="10" s="1"/>
  <c r="AN71" i="10"/>
  <c r="AO71" i="10" s="1"/>
  <c r="AR71" i="10" s="1"/>
  <c r="AN132" i="10"/>
  <c r="AO132" i="10" s="1"/>
  <c r="AR132" i="10" s="1"/>
  <c r="AN5" i="10"/>
  <c r="AP5" i="10" s="1"/>
  <c r="AN147" i="10"/>
  <c r="AO147" i="10" s="1"/>
  <c r="AR147" i="10" s="1"/>
  <c r="AN69" i="10"/>
  <c r="AO69" i="10" s="1"/>
  <c r="AR69" i="10" s="1"/>
  <c r="AN133" i="10"/>
  <c r="AO133" i="10" s="1"/>
  <c r="AR133" i="10" s="1"/>
  <c r="AN155" i="10"/>
  <c r="AP155" i="10" s="1"/>
  <c r="AN46" i="10"/>
  <c r="AP46" i="10" s="1"/>
  <c r="AN29" i="10"/>
  <c r="AO29" i="10" s="1"/>
  <c r="AR29" i="10" s="1"/>
  <c r="AN100" i="10"/>
  <c r="AO100" i="10" s="1"/>
  <c r="AR100" i="10" s="1"/>
  <c r="AN127" i="10"/>
  <c r="AP127" i="10" s="1"/>
  <c r="AN191" i="10"/>
  <c r="AO191" i="10" s="1"/>
  <c r="AR191" i="10" s="1"/>
  <c r="AN197" i="10"/>
  <c r="AP197" i="10" s="1"/>
  <c r="AN144" i="10"/>
  <c r="AO144" i="10" s="1"/>
  <c r="AR144" i="10" s="1"/>
  <c r="AN156" i="10"/>
  <c r="AO156" i="10" s="1"/>
  <c r="AR156" i="10" s="1"/>
  <c r="AN192" i="10"/>
  <c r="AO192" i="10" s="1"/>
  <c r="AR192" i="10" s="1"/>
  <c r="AN112" i="10"/>
  <c r="AO112" i="10" s="1"/>
  <c r="AR112" i="10" s="1"/>
  <c r="AN10" i="10"/>
  <c r="AP10" i="10" s="1"/>
  <c r="AN140" i="10"/>
  <c r="AO140" i="10" s="1"/>
  <c r="AR140" i="10" s="1"/>
  <c r="AO86" i="10"/>
  <c r="AR86" i="10" s="1"/>
  <c r="AN139" i="10"/>
  <c r="AO139" i="10" s="1"/>
  <c r="AR139" i="10" s="1"/>
  <c r="AN118" i="10"/>
  <c r="AP118" i="10" s="1"/>
  <c r="AN67" i="10"/>
  <c r="AO67" i="10" s="1"/>
  <c r="AR67" i="10" s="1"/>
  <c r="AN131" i="10"/>
  <c r="AN195" i="10"/>
  <c r="AP195" i="10" s="1"/>
  <c r="AN21" i="10"/>
  <c r="AP21" i="10" s="1"/>
  <c r="AN68" i="10"/>
  <c r="AO68" i="10" s="1"/>
  <c r="AR68" i="10" s="1"/>
  <c r="AN12" i="10"/>
  <c r="AP12" i="10" s="1"/>
  <c r="AN116" i="10"/>
  <c r="AN13" i="10"/>
  <c r="AO13" i="10" s="1"/>
  <c r="AR13" i="10" s="1"/>
  <c r="AN30" i="10"/>
  <c r="AO30" i="10" s="1"/>
  <c r="AR30" i="10" s="1"/>
  <c r="AN84" i="10"/>
  <c r="AP84" i="10" s="1"/>
  <c r="AN122" i="10"/>
  <c r="AO122" i="10" s="1"/>
  <c r="AR122" i="10" s="1"/>
  <c r="AN186" i="10"/>
  <c r="AO186" i="10" s="1"/>
  <c r="AR186" i="10" s="1"/>
  <c r="AN89" i="10"/>
  <c r="AP89" i="10" s="1"/>
  <c r="AN41" i="10"/>
  <c r="AO41" i="10" s="1"/>
  <c r="AR41" i="10" s="1"/>
  <c r="AN3" i="10"/>
  <c r="AO3" i="10" s="1"/>
  <c r="AR3" i="10" s="1"/>
  <c r="AN35" i="10"/>
  <c r="AO35" i="10" s="1"/>
  <c r="AR35" i="10" s="1"/>
  <c r="AN170" i="10"/>
  <c r="AO170" i="10" s="1"/>
  <c r="AR170" i="10" s="1"/>
  <c r="AN175" i="10"/>
  <c r="AP175" i="10" s="1"/>
  <c r="AN55" i="10"/>
  <c r="AO55" i="10" s="1"/>
  <c r="AR55" i="10" s="1"/>
  <c r="AN166" i="10"/>
  <c r="AP166" i="10" s="1"/>
  <c r="AN53" i="10"/>
  <c r="AP53" i="10" s="1"/>
  <c r="AN181" i="10"/>
  <c r="AP181" i="10" s="1"/>
  <c r="AN44" i="10"/>
  <c r="AO44" i="10" s="1"/>
  <c r="AR44" i="10" s="1"/>
  <c r="AN70" i="10"/>
  <c r="AP70" i="10" s="1"/>
  <c r="AN90" i="10"/>
  <c r="AO90" i="10" s="1"/>
  <c r="AR90" i="10" s="1"/>
  <c r="AN169" i="10"/>
  <c r="AO169" i="10" s="1"/>
  <c r="AR169" i="10" s="1"/>
  <c r="AN125" i="10"/>
  <c r="AP125" i="10" s="1"/>
  <c r="AN182" i="10"/>
  <c r="AP182" i="10" s="1"/>
  <c r="AN154" i="10"/>
  <c r="AO154" i="10" s="1"/>
  <c r="AR154" i="10" s="1"/>
  <c r="AN52" i="10"/>
  <c r="AO52" i="10" s="1"/>
  <c r="AR52" i="10" s="1"/>
  <c r="AN201" i="10"/>
  <c r="AP201" i="10" s="1"/>
  <c r="AN25" i="10"/>
  <c r="AO25" i="10" s="1"/>
  <c r="AR25" i="10" s="1"/>
  <c r="AN20" i="10"/>
  <c r="AP20" i="10" s="1"/>
  <c r="AN176" i="10"/>
  <c r="AP176" i="10" s="1"/>
  <c r="AN185" i="10"/>
  <c r="AO185" i="10" s="1"/>
  <c r="AR185" i="10" s="1"/>
  <c r="AP18" i="10"/>
  <c r="AN96" i="10"/>
  <c r="AO96" i="10" s="1"/>
  <c r="AR96" i="10" s="1"/>
  <c r="AN19" i="10"/>
  <c r="AP19" i="10" s="1"/>
  <c r="AN111" i="10"/>
  <c r="AP111" i="10" s="1"/>
  <c r="AN83" i="10"/>
  <c r="AO83" i="10" s="1"/>
  <c r="AR83" i="10" s="1"/>
  <c r="AN6" i="10"/>
  <c r="AO6" i="10" s="1"/>
  <c r="AR6" i="10" s="1"/>
  <c r="AN124" i="10"/>
  <c r="AO124" i="10" s="1"/>
  <c r="AR124" i="10" s="1"/>
  <c r="AN188" i="10"/>
  <c r="AP188" i="10" s="1"/>
  <c r="AN4" i="10"/>
  <c r="AO4" i="10" s="1"/>
  <c r="AR4" i="10" s="1"/>
  <c r="AN79" i="10"/>
  <c r="AO79" i="10" s="1"/>
  <c r="AR79" i="10" s="1"/>
  <c r="AN64" i="10"/>
  <c r="AO64" i="10" s="1"/>
  <c r="AR64" i="10" s="1"/>
  <c r="AN101" i="10"/>
  <c r="AP101" i="10" s="1"/>
  <c r="AN165" i="10"/>
  <c r="AP165" i="10" s="1"/>
  <c r="AN51" i="10"/>
  <c r="AP51" i="10" s="1"/>
  <c r="AN115" i="10"/>
  <c r="AP115" i="10" s="1"/>
  <c r="AN179" i="10"/>
  <c r="AO179" i="10" s="1"/>
  <c r="AR179" i="10" s="1"/>
  <c r="AN134" i="10"/>
  <c r="AP134" i="10" s="1"/>
  <c r="AN28" i="10"/>
  <c r="AO28" i="10" s="1"/>
  <c r="AR28" i="10" s="1"/>
  <c r="AN85" i="10"/>
  <c r="AP85" i="10" s="1"/>
  <c r="AN149" i="10"/>
  <c r="AP149" i="10" s="1"/>
  <c r="AN138" i="10"/>
  <c r="AP138" i="10" s="1"/>
  <c r="AN202" i="10"/>
  <c r="AP202" i="10" s="1"/>
  <c r="AN80" i="10"/>
  <c r="AP80" i="10" s="1"/>
  <c r="AN172" i="10"/>
  <c r="AO172" i="10" s="1"/>
  <c r="AR172" i="10" s="1"/>
  <c r="AP164" i="10"/>
  <c r="AP148" i="10"/>
  <c r="AN42" i="10"/>
  <c r="AP42" i="10" s="1"/>
  <c r="AN47" i="10"/>
  <c r="AP47" i="10" s="1"/>
  <c r="AN9" i="10"/>
  <c r="AP9" i="10" s="1"/>
  <c r="AN15" i="10"/>
  <c r="AP15" i="10" s="1"/>
  <c r="AN95" i="10"/>
  <c r="AP95" i="10" s="1"/>
  <c r="AN74" i="10"/>
  <c r="AP74" i="10" s="1"/>
  <c r="AN36" i="10"/>
  <c r="AP36" i="10" s="1"/>
  <c r="AN2" i="10"/>
  <c r="AP2" i="10" s="1"/>
  <c r="AN63" i="10"/>
  <c r="AO63" i="10" s="1"/>
  <c r="AR63" i="10" s="1"/>
  <c r="AN99" i="10"/>
  <c r="AP99" i="10" s="1"/>
  <c r="AN163" i="10"/>
  <c r="AO163" i="10" s="1"/>
  <c r="AR163" i="10" s="1"/>
  <c r="AN61" i="10"/>
  <c r="AP61" i="10" s="1"/>
  <c r="AN105" i="10"/>
  <c r="AO105" i="10" s="1"/>
  <c r="AR105" i="10" s="1"/>
  <c r="AN109" i="10"/>
  <c r="AO109" i="10" s="1"/>
  <c r="AR109" i="10" s="1"/>
  <c r="AN117" i="10"/>
  <c r="AO117" i="10" s="1"/>
  <c r="AR117" i="10" s="1"/>
  <c r="AN93" i="10"/>
  <c r="AP93" i="10" s="1"/>
  <c r="AN143" i="10"/>
  <c r="AO143" i="10" s="1"/>
  <c r="AR143" i="10" s="1"/>
  <c r="AN108" i="10"/>
  <c r="AP108" i="10" s="1"/>
  <c r="AN141" i="10"/>
  <c r="AP141" i="10" s="1"/>
  <c r="AP123" i="10"/>
  <c r="AP157" i="10"/>
  <c r="AO198" i="10"/>
  <c r="AR198" i="10" s="1"/>
  <c r="AP107" i="10"/>
  <c r="AO56" i="10"/>
  <c r="AR56" i="10" s="1"/>
  <c r="AP43" i="10"/>
  <c r="AE111" i="10"/>
  <c r="AE119" i="10"/>
  <c r="AE98" i="10"/>
  <c r="AE96" i="10"/>
  <c r="AE106" i="10"/>
  <c r="AE177" i="10"/>
  <c r="AE120" i="10"/>
  <c r="AE198" i="10"/>
  <c r="AE168" i="10"/>
  <c r="AE82" i="10"/>
  <c r="AE63" i="10"/>
  <c r="AE73" i="10"/>
  <c r="AE195" i="10"/>
  <c r="AE77" i="10"/>
  <c r="AE182" i="10"/>
  <c r="AE196" i="10"/>
  <c r="AE147" i="10"/>
  <c r="AE160" i="10"/>
  <c r="AE162" i="10"/>
  <c r="AE191" i="10"/>
  <c r="AE170" i="10"/>
  <c r="AE180" i="10"/>
  <c r="AE131" i="10"/>
  <c r="AE127" i="10"/>
  <c r="AE70" i="10"/>
  <c r="AE118" i="10"/>
  <c r="AE61" i="10"/>
  <c r="AE84" i="10"/>
  <c r="AE141" i="10"/>
  <c r="AE95" i="10"/>
  <c r="AE87" i="10"/>
  <c r="AE102" i="10"/>
  <c r="AE81" i="10"/>
  <c r="AE75" i="10"/>
  <c r="AE99" i="10"/>
  <c r="AE90" i="10"/>
  <c r="AE135" i="10"/>
  <c r="AE134" i="10"/>
  <c r="AE132" i="10"/>
  <c r="AE83" i="10"/>
  <c r="AE161" i="10"/>
  <c r="AE146" i="10"/>
  <c r="AE169" i="10"/>
  <c r="AE193" i="10"/>
  <c r="AE154" i="10"/>
  <c r="AE159" i="10"/>
  <c r="AE109" i="10"/>
  <c r="AE91" i="10"/>
  <c r="AE133" i="10"/>
  <c r="AE176" i="10"/>
  <c r="AE64" i="10"/>
  <c r="AE107" i="10"/>
  <c r="AE149" i="10"/>
  <c r="AE192" i="10"/>
  <c r="AE69" i="10"/>
  <c r="AE112" i="10"/>
  <c r="AE155" i="10"/>
  <c r="AE197" i="10"/>
  <c r="AE85" i="10"/>
  <c r="AE128" i="10"/>
  <c r="AE171" i="10"/>
  <c r="AE62" i="10"/>
  <c r="AE94" i="10"/>
  <c r="AE126" i="10"/>
  <c r="AE158" i="10"/>
  <c r="AE190" i="10"/>
  <c r="AE79" i="10"/>
  <c r="AE121" i="10"/>
  <c r="AE164" i="10"/>
  <c r="AE60" i="10"/>
  <c r="AE145" i="10"/>
  <c r="AE72" i="10"/>
  <c r="AE115" i="10"/>
  <c r="AE157" i="10"/>
  <c r="AE200" i="10"/>
  <c r="AE140" i="10"/>
  <c r="AE187" i="10"/>
  <c r="AE117" i="10"/>
  <c r="AE78" i="10"/>
  <c r="AE110" i="10"/>
  <c r="AE142" i="10"/>
  <c r="AE174" i="10"/>
  <c r="AE57" i="10"/>
  <c r="AE100" i="10"/>
  <c r="AE143" i="10"/>
  <c r="AE185" i="10"/>
  <c r="AE103" i="10"/>
  <c r="AE188" i="10"/>
  <c r="AE93" i="10"/>
  <c r="AE136" i="10"/>
  <c r="AE179" i="10"/>
  <c r="AE97" i="10"/>
  <c r="AE183" i="10"/>
  <c r="AE101" i="10"/>
  <c r="AD9" i="10"/>
  <c r="AD63" i="10"/>
  <c r="AD74" i="10"/>
  <c r="AD85" i="10"/>
  <c r="AD90" i="10"/>
  <c r="AD58" i="10"/>
  <c r="AD69" i="10"/>
  <c r="AD79" i="10"/>
  <c r="AD57" i="10"/>
  <c r="AF57" i="10" s="1"/>
  <c r="AD78" i="10"/>
  <c r="AD95" i="10"/>
  <c r="AF95" i="10" s="1"/>
  <c r="AD106" i="10"/>
  <c r="AF106" i="10" s="1"/>
  <c r="AD117" i="10"/>
  <c r="AD127" i="10"/>
  <c r="AD138" i="10"/>
  <c r="AD149" i="10"/>
  <c r="AD159" i="10"/>
  <c r="AD170" i="10"/>
  <c r="AF170" i="10" s="1"/>
  <c r="AD181" i="10"/>
  <c r="AD191" i="10"/>
  <c r="AD202" i="10"/>
  <c r="AD73" i="10"/>
  <c r="AD105" i="10"/>
  <c r="AF105" i="10" s="1"/>
  <c r="AD126" i="10"/>
  <c r="AD147" i="10"/>
  <c r="AD179" i="10"/>
  <c r="AD201" i="10"/>
  <c r="AF201" i="10" s="1"/>
  <c r="AD89" i="10"/>
  <c r="AD111" i="10"/>
  <c r="AD133" i="10"/>
  <c r="AD154" i="10"/>
  <c r="AF154" i="10" s="1"/>
  <c r="AD175" i="10"/>
  <c r="AD197" i="10"/>
  <c r="AF197" i="10" s="1"/>
  <c r="AD62" i="10"/>
  <c r="AD83" i="10"/>
  <c r="AD99" i="10"/>
  <c r="AD110" i="10"/>
  <c r="AD121" i="10"/>
  <c r="AD131" i="10"/>
  <c r="AF131" i="10" s="1"/>
  <c r="AD142" i="10"/>
  <c r="AD153" i="10"/>
  <c r="AD163" i="10"/>
  <c r="AD174" i="10"/>
  <c r="AF174" i="10" s="1"/>
  <c r="AD185" i="10"/>
  <c r="AF185" i="10" s="1"/>
  <c r="AD195" i="10"/>
  <c r="AD94" i="10"/>
  <c r="AD115" i="10"/>
  <c r="AD137" i="10"/>
  <c r="AD158" i="10"/>
  <c r="AD169" i="10"/>
  <c r="AD190" i="10"/>
  <c r="AF190" i="10" s="1"/>
  <c r="AD67" i="10"/>
  <c r="AD101" i="10"/>
  <c r="AD122" i="10"/>
  <c r="AD143" i="10"/>
  <c r="AF143" i="10" s="1"/>
  <c r="AD165" i="10"/>
  <c r="AD186" i="10"/>
  <c r="AD60" i="10"/>
  <c r="AD76" i="10"/>
  <c r="AF76" i="10" s="1"/>
  <c r="AD92" i="10"/>
  <c r="AD108" i="10"/>
  <c r="AD124" i="10"/>
  <c r="AD140" i="10"/>
  <c r="AF140" i="10" s="1"/>
  <c r="AD156" i="10"/>
  <c r="AD172" i="10"/>
  <c r="AD188" i="10"/>
  <c r="AD193" i="10"/>
  <c r="AD171" i="10"/>
  <c r="AD150" i="10"/>
  <c r="AD129" i="10"/>
  <c r="AD107" i="10"/>
  <c r="AF107" i="10" s="1"/>
  <c r="AD86" i="10"/>
  <c r="AD65" i="10"/>
  <c r="AD189" i="10"/>
  <c r="AD167" i="10"/>
  <c r="AD146" i="10"/>
  <c r="AD125" i="10"/>
  <c r="AD103" i="10"/>
  <c r="AD82" i="10"/>
  <c r="AF82" i="10" s="1"/>
  <c r="AD61" i="10"/>
  <c r="AD72" i="10"/>
  <c r="AD104" i="10"/>
  <c r="AD136" i="10"/>
  <c r="AF136" i="10" s="1"/>
  <c r="AD168" i="10"/>
  <c r="AF168" i="10" s="1"/>
  <c r="AD200" i="10"/>
  <c r="AD198" i="10"/>
  <c r="AD155" i="10"/>
  <c r="AD113" i="10"/>
  <c r="AD70" i="10"/>
  <c r="AD173" i="10"/>
  <c r="AD130" i="10"/>
  <c r="AD87" i="10"/>
  <c r="AD68" i="10"/>
  <c r="AD100" i="10"/>
  <c r="AD132" i="10"/>
  <c r="AF132" i="10" s="1"/>
  <c r="AD164" i="10"/>
  <c r="AD196" i="10"/>
  <c r="AD161" i="10"/>
  <c r="AF161" i="10" s="1"/>
  <c r="AD139" i="10"/>
  <c r="AD97" i="10"/>
  <c r="AD199" i="10"/>
  <c r="AD157" i="10"/>
  <c r="AD114" i="10"/>
  <c r="AD71" i="10"/>
  <c r="AD64" i="10"/>
  <c r="AF64" i="10" s="1"/>
  <c r="AD80" i="10"/>
  <c r="AD96" i="10"/>
  <c r="AD112" i="10"/>
  <c r="AD128" i="10"/>
  <c r="AD144" i="10"/>
  <c r="AD160" i="10"/>
  <c r="AF160" i="10" s="1"/>
  <c r="AD176" i="10"/>
  <c r="AD192" i="10"/>
  <c r="AF192" i="10" s="1"/>
  <c r="AD187" i="10"/>
  <c r="AD166" i="10"/>
  <c r="AD145" i="10"/>
  <c r="AD123" i="10"/>
  <c r="AD102" i="10"/>
  <c r="AD81" i="10"/>
  <c r="AF81" i="10" s="1"/>
  <c r="AD59" i="10"/>
  <c r="AD183" i="10"/>
  <c r="AD162" i="10"/>
  <c r="AF162" i="10" s="1"/>
  <c r="AD141" i="10"/>
  <c r="AF141" i="10" s="1"/>
  <c r="AD119" i="10"/>
  <c r="AD98" i="10"/>
  <c r="AF98" i="10" s="1"/>
  <c r="AD77" i="10"/>
  <c r="AD88" i="10"/>
  <c r="AD120" i="10"/>
  <c r="AF120" i="10" s="1"/>
  <c r="AD152" i="10"/>
  <c r="AD184" i="10"/>
  <c r="AD177" i="10"/>
  <c r="AF177" i="10" s="1"/>
  <c r="AD134" i="10"/>
  <c r="AD91" i="10"/>
  <c r="AD194" i="10"/>
  <c r="AD151" i="10"/>
  <c r="AD109" i="10"/>
  <c r="AF109" i="10" s="1"/>
  <c r="AD66" i="10"/>
  <c r="AD84" i="10"/>
  <c r="AD116" i="10"/>
  <c r="AD148" i="10"/>
  <c r="AD180" i="10"/>
  <c r="AD182" i="10"/>
  <c r="AF182" i="10" s="1"/>
  <c r="AD118" i="10"/>
  <c r="AF118" i="10" s="1"/>
  <c r="AD75" i="10"/>
  <c r="AD178" i="10"/>
  <c r="AD135" i="10"/>
  <c r="AF135" i="10" s="1"/>
  <c r="AD93" i="10"/>
  <c r="AE86" i="10"/>
  <c r="AE150" i="10"/>
  <c r="AE68" i="10"/>
  <c r="AE153" i="10"/>
  <c r="AE124" i="10"/>
  <c r="AE104" i="10"/>
  <c r="AE189" i="10"/>
  <c r="AE144" i="10"/>
  <c r="AE114" i="10"/>
  <c r="AE178" i="10"/>
  <c r="AE105" i="10"/>
  <c r="AE113" i="10"/>
  <c r="AE184" i="10"/>
  <c r="AE165" i="10"/>
  <c r="AE58" i="10"/>
  <c r="AE122" i="10"/>
  <c r="AE186" i="10"/>
  <c r="AE116" i="10"/>
  <c r="AE201" i="10"/>
  <c r="AE67" i="10"/>
  <c r="AE152" i="10"/>
  <c r="AE129" i="10"/>
  <c r="AE71" i="10"/>
  <c r="AE163" i="10"/>
  <c r="AE181" i="10"/>
  <c r="AE166" i="10"/>
  <c r="AE89" i="10"/>
  <c r="AE175" i="10"/>
  <c r="AE167" i="10"/>
  <c r="AE125" i="10"/>
  <c r="AE76" i="10"/>
  <c r="AE59" i="10"/>
  <c r="AE66" i="10"/>
  <c r="AE130" i="10"/>
  <c r="AE194" i="10"/>
  <c r="AE148" i="10"/>
  <c r="AE199" i="10"/>
  <c r="AE108" i="10"/>
  <c r="AE74" i="10"/>
  <c r="AE138" i="10"/>
  <c r="AE202" i="10"/>
  <c r="AE137" i="10"/>
  <c r="AE92" i="10"/>
  <c r="AE88" i="10"/>
  <c r="AE173" i="10"/>
  <c r="AE172" i="10"/>
  <c r="AE123" i="10"/>
  <c r="AE139" i="10"/>
  <c r="AE156" i="10"/>
  <c r="AE65" i="10"/>
  <c r="AE80" i="10"/>
  <c r="AE43" i="10"/>
  <c r="AD19" i="10"/>
  <c r="AD16" i="10"/>
  <c r="AD11" i="10"/>
  <c r="AD54" i="10"/>
  <c r="AD4" i="10"/>
  <c r="AD52" i="10"/>
  <c r="AD49" i="10"/>
  <c r="AE18" i="10"/>
  <c r="AF18" i="10" s="1"/>
  <c r="AD34" i="10"/>
  <c r="AD48" i="10"/>
  <c r="AD14" i="10"/>
  <c r="AD33" i="10"/>
  <c r="AF33" i="10" s="1"/>
  <c r="AD51" i="10"/>
  <c r="AD20" i="10"/>
  <c r="AD47" i="10"/>
  <c r="AD29" i="10"/>
  <c r="AE56" i="10"/>
  <c r="AE49" i="10"/>
  <c r="AE37" i="10"/>
  <c r="AD43" i="10"/>
  <c r="AF43" i="10" s="1"/>
  <c r="AD36" i="10"/>
  <c r="AD22" i="10"/>
  <c r="AD3" i="10"/>
  <c r="AD17" i="10"/>
  <c r="AF17" i="10" s="1"/>
  <c r="AE6" i="10"/>
  <c r="AE5" i="10"/>
  <c r="AD26" i="10"/>
  <c r="AD15" i="10"/>
  <c r="AD32" i="10"/>
  <c r="AD50" i="10"/>
  <c r="AD39" i="10"/>
  <c r="AD45" i="10"/>
  <c r="AD13" i="10"/>
  <c r="AE12" i="10"/>
  <c r="AE23" i="10"/>
  <c r="AE25" i="10"/>
  <c r="AD38" i="10"/>
  <c r="AD6" i="10"/>
  <c r="AD27" i="10"/>
  <c r="AD56" i="10"/>
  <c r="AD40" i="10"/>
  <c r="AD24" i="10"/>
  <c r="AD8" i="10"/>
  <c r="AD30" i="10"/>
  <c r="AD55" i="10"/>
  <c r="AD23" i="10"/>
  <c r="AD53" i="10"/>
  <c r="AD37" i="10"/>
  <c r="AF37" i="10" s="1"/>
  <c r="AD21" i="10"/>
  <c r="AD5" i="10"/>
  <c r="AF5" i="10" s="1"/>
  <c r="AE32" i="10"/>
  <c r="AE3" i="10"/>
  <c r="AE4" i="10"/>
  <c r="AD46" i="10"/>
  <c r="AD18" i="10"/>
  <c r="AD35" i="10"/>
  <c r="AD7" i="10"/>
  <c r="AD44" i="10"/>
  <c r="AD28" i="10"/>
  <c r="AD12" i="10"/>
  <c r="AD42" i="10"/>
  <c r="AD10" i="10"/>
  <c r="AD31" i="10"/>
  <c r="AF2" i="10"/>
  <c r="AD41" i="10"/>
  <c r="AD25" i="10"/>
  <c r="AE33" i="10"/>
  <c r="AE54" i="10"/>
  <c r="AE51" i="10"/>
  <c r="AE53" i="10"/>
  <c r="AE36" i="10"/>
  <c r="AE7" i="10"/>
  <c r="AE8" i="10"/>
  <c r="AE20" i="10"/>
  <c r="AE22" i="10"/>
  <c r="AE13" i="10"/>
  <c r="AE44" i="10"/>
  <c r="AE34" i="10"/>
  <c r="AE31" i="10"/>
  <c r="AE10" i="10"/>
  <c r="AE9" i="10"/>
  <c r="AE30" i="10"/>
  <c r="AE28" i="10"/>
  <c r="AE14" i="10"/>
  <c r="AF14" i="10" s="1"/>
  <c r="AE46" i="10"/>
  <c r="AE11" i="10"/>
  <c r="AE17" i="10"/>
  <c r="AE27" i="10"/>
  <c r="AE45" i="10"/>
  <c r="AE24" i="10"/>
  <c r="AE40" i="10"/>
  <c r="AE15" i="10"/>
  <c r="AE55" i="10"/>
  <c r="AE47" i="10"/>
  <c r="AE52" i="10"/>
  <c r="AE38" i="10"/>
  <c r="AE29" i="10"/>
  <c r="AE19" i="10"/>
  <c r="AE50" i="10"/>
  <c r="AE21" i="10"/>
  <c r="AE42" i="10"/>
  <c r="AE41" i="10"/>
  <c r="AE16" i="10"/>
  <c r="AE26" i="10"/>
  <c r="AE48" i="10"/>
  <c r="AE35" i="10"/>
  <c r="AE39" i="10"/>
  <c r="AQ151" i="10" l="1"/>
  <c r="AO158" i="10"/>
  <c r="AR158" i="10" s="1"/>
  <c r="AO104" i="10"/>
  <c r="AR104" i="10" s="1"/>
  <c r="AO39" i="10"/>
  <c r="AR39" i="10" s="1"/>
  <c r="AP190" i="10"/>
  <c r="AO173" i="10"/>
  <c r="AR173" i="10" s="1"/>
  <c r="AO151" i="10"/>
  <c r="AR151" i="10" s="1"/>
  <c r="AO50" i="10"/>
  <c r="AR50" i="10" s="1"/>
  <c r="AP137" i="10"/>
  <c r="AQ200" i="10"/>
  <c r="AO72" i="10"/>
  <c r="AR72" i="10" s="1"/>
  <c r="AP183" i="10"/>
  <c r="AP76" i="10"/>
  <c r="AP167" i="10"/>
  <c r="AO200" i="10"/>
  <c r="AR200" i="10" s="1"/>
  <c r="AP66" i="10"/>
  <c r="AO187" i="10"/>
  <c r="AR187" i="10" s="1"/>
  <c r="AO98" i="10"/>
  <c r="AR98" i="10" s="1"/>
  <c r="AO150" i="10"/>
  <c r="AR150" i="10" s="1"/>
  <c r="AP119" i="10"/>
  <c r="AP102" i="10"/>
  <c r="AQ102" i="10" s="1"/>
  <c r="AO145" i="10"/>
  <c r="AR145" i="10" s="1"/>
  <c r="AO24" i="10"/>
  <c r="AR24" i="10" s="1"/>
  <c r="AP152" i="10"/>
  <c r="AQ152" i="10" s="1"/>
  <c r="AP87" i="10"/>
  <c r="AQ87" i="10" s="1"/>
  <c r="AO88" i="10"/>
  <c r="AR88" i="10" s="1"/>
  <c r="AO178" i="10"/>
  <c r="AR178" i="10" s="1"/>
  <c r="AP65" i="10"/>
  <c r="AQ65" i="10" s="1"/>
  <c r="AP120" i="10"/>
  <c r="AO110" i="10"/>
  <c r="AR110" i="10" s="1"/>
  <c r="AO11" i="10"/>
  <c r="AR11" i="10" s="1"/>
  <c r="AP60" i="10"/>
  <c r="AP16" i="10"/>
  <c r="AO180" i="10"/>
  <c r="AR180" i="10" s="1"/>
  <c r="AO194" i="10"/>
  <c r="AR194" i="10" s="1"/>
  <c r="AP113" i="10"/>
  <c r="AP171" i="10"/>
  <c r="AP59" i="10"/>
  <c r="AQ59" i="10" s="1"/>
  <c r="AP126" i="10"/>
  <c r="AO40" i="10"/>
  <c r="AR40" i="10" s="1"/>
  <c r="AP193" i="10"/>
  <c r="AQ193" i="10" s="1"/>
  <c r="AP8" i="10"/>
  <c r="AP136" i="10"/>
  <c r="AP184" i="10"/>
  <c r="AO168" i="10"/>
  <c r="AR168" i="10" s="1"/>
  <c r="AO27" i="10"/>
  <c r="AR27" i="10" s="1"/>
  <c r="AP135" i="10"/>
  <c r="AP17" i="10"/>
  <c r="AP142" i="10"/>
  <c r="AQ142" i="10" s="1"/>
  <c r="AP114" i="10"/>
  <c r="AQ114" i="10" s="1"/>
  <c r="AO91" i="10"/>
  <c r="AR91" i="10" s="1"/>
  <c r="AO153" i="10"/>
  <c r="AR153" i="10" s="1"/>
  <c r="AO75" i="10"/>
  <c r="AR75" i="10" s="1"/>
  <c r="AO62" i="10"/>
  <c r="AR62" i="10" s="1"/>
  <c r="AO174" i="10"/>
  <c r="AR174" i="10" s="1"/>
  <c r="AO177" i="10"/>
  <c r="AR177" i="10" s="1"/>
  <c r="AO97" i="10"/>
  <c r="AR97" i="10" s="1"/>
  <c r="AP94" i="10"/>
  <c r="AO189" i="10"/>
  <c r="AR189" i="10" s="1"/>
  <c r="AO19" i="10"/>
  <c r="AR19" i="10" s="1"/>
  <c r="AO121" i="10"/>
  <c r="AR121" i="10" s="1"/>
  <c r="AP34" i="10"/>
  <c r="AP146" i="10"/>
  <c r="AQ146" i="10" s="1"/>
  <c r="AP147" i="10"/>
  <c r="AQ121" i="10"/>
  <c r="AO162" i="10"/>
  <c r="AR162" i="10" s="1"/>
  <c r="AO159" i="10"/>
  <c r="AR159" i="10" s="1"/>
  <c r="AP196" i="10"/>
  <c r="AQ196" i="10" s="1"/>
  <c r="AF56" i="10"/>
  <c r="AF113" i="10"/>
  <c r="AF7" i="10"/>
  <c r="AF148" i="10"/>
  <c r="AF6" i="10"/>
  <c r="AF137" i="10"/>
  <c r="AP33" i="10"/>
  <c r="AP26" i="10"/>
  <c r="AO175" i="10"/>
  <c r="AR175" i="10" s="1"/>
  <c r="AO78" i="10"/>
  <c r="AR78" i="10" s="1"/>
  <c r="AO106" i="10"/>
  <c r="AR106" i="10" s="1"/>
  <c r="AO49" i="10"/>
  <c r="AR49" i="10" s="1"/>
  <c r="AO46" i="10"/>
  <c r="AR46" i="10" s="1"/>
  <c r="AO73" i="10"/>
  <c r="AR73" i="10" s="1"/>
  <c r="AO82" i="10"/>
  <c r="AR82" i="10" s="1"/>
  <c r="AP192" i="10"/>
  <c r="AQ192" i="10" s="1"/>
  <c r="AO12" i="10"/>
  <c r="AR12" i="10" s="1"/>
  <c r="AP199" i="10"/>
  <c r="AQ199" i="10" s="1"/>
  <c r="AO22" i="10"/>
  <c r="AR22" i="10" s="1"/>
  <c r="AP129" i="10"/>
  <c r="AQ129" i="10" s="1"/>
  <c r="AP130" i="10"/>
  <c r="AP23" i="10"/>
  <c r="AO181" i="10"/>
  <c r="AR181" i="10" s="1"/>
  <c r="AO161" i="10"/>
  <c r="AR161" i="10" s="1"/>
  <c r="AP81" i="10"/>
  <c r="AO77" i="10"/>
  <c r="AR77" i="10" s="1"/>
  <c r="AO202" i="10"/>
  <c r="AR202" i="10" s="1"/>
  <c r="AP103" i="10"/>
  <c r="AO160" i="10"/>
  <c r="AR160" i="10" s="1"/>
  <c r="AO21" i="10"/>
  <c r="AR21" i="10" s="1"/>
  <c r="AO37" i="10"/>
  <c r="AR37" i="10" s="1"/>
  <c r="AO38" i="10"/>
  <c r="AR38" i="10" s="1"/>
  <c r="AO57" i="10"/>
  <c r="AR57" i="10" s="1"/>
  <c r="AP128" i="10"/>
  <c r="AQ128" i="10" s="1"/>
  <c r="AP156" i="10"/>
  <c r="AQ156" i="10" s="1"/>
  <c r="AO188" i="10"/>
  <c r="AR188" i="10" s="1"/>
  <c r="AO14" i="10"/>
  <c r="AR14" i="10" s="1"/>
  <c r="AQ155" i="10"/>
  <c r="AO195" i="10"/>
  <c r="AR195" i="10" s="1"/>
  <c r="AP90" i="10"/>
  <c r="AQ90" i="10" s="1"/>
  <c r="AO149" i="10"/>
  <c r="AR149" i="10" s="1"/>
  <c r="AO127" i="10"/>
  <c r="AR127" i="10" s="1"/>
  <c r="AP69" i="10"/>
  <c r="AO54" i="10"/>
  <c r="AR54" i="10" s="1"/>
  <c r="AP58" i="10"/>
  <c r="AO7" i="10"/>
  <c r="AR7" i="10" s="1"/>
  <c r="AP29" i="10"/>
  <c r="AP32" i="10"/>
  <c r="AO155" i="10"/>
  <c r="AR155" i="10" s="1"/>
  <c r="AO53" i="10"/>
  <c r="AR53" i="10" s="1"/>
  <c r="AP92" i="10"/>
  <c r="AQ92" i="10" s="1"/>
  <c r="AP144" i="10"/>
  <c r="AP67" i="10"/>
  <c r="AQ67" i="10" s="1"/>
  <c r="AP170" i="10"/>
  <c r="AP45" i="10"/>
  <c r="AO89" i="10"/>
  <c r="AR89" i="10" s="1"/>
  <c r="AP124" i="10"/>
  <c r="AP68" i="10"/>
  <c r="AQ99" i="10"/>
  <c r="AP48" i="10"/>
  <c r="AP30" i="10"/>
  <c r="AO5" i="10"/>
  <c r="AR5" i="10" s="1"/>
  <c r="AP31" i="10"/>
  <c r="AO115" i="10"/>
  <c r="AR115" i="10" s="1"/>
  <c r="AP64" i="10"/>
  <c r="AQ64" i="10" s="1"/>
  <c r="AP132" i="10"/>
  <c r="AQ132" i="10" s="1"/>
  <c r="AP96" i="10"/>
  <c r="AQ96" i="10" s="1"/>
  <c r="AO118" i="10"/>
  <c r="AR118" i="10" s="1"/>
  <c r="AQ61" i="10"/>
  <c r="AP133" i="10"/>
  <c r="AP52" i="10"/>
  <c r="AP79" i="10"/>
  <c r="AQ79" i="10" s="1"/>
  <c r="AP71" i="10"/>
  <c r="AQ71" i="10" s="1"/>
  <c r="AO10" i="10"/>
  <c r="AR10" i="10" s="1"/>
  <c r="AP100" i="10"/>
  <c r="AQ100" i="10" s="1"/>
  <c r="AF31" i="10"/>
  <c r="AP109" i="10"/>
  <c r="AQ109" i="10" s="1"/>
  <c r="AP55" i="10"/>
  <c r="AO197" i="10"/>
  <c r="AR197" i="10" s="1"/>
  <c r="AP169" i="10"/>
  <c r="AQ169" i="10" s="1"/>
  <c r="AO111" i="10"/>
  <c r="AR111" i="10" s="1"/>
  <c r="AP191" i="10"/>
  <c r="AQ191" i="10" s="1"/>
  <c r="AP41" i="10"/>
  <c r="AP112" i="10"/>
  <c r="AQ112" i="10" s="1"/>
  <c r="AO101" i="10"/>
  <c r="AR101" i="10" s="1"/>
  <c r="AP105" i="10"/>
  <c r="AP122" i="10"/>
  <c r="AO84" i="10"/>
  <c r="AR84" i="10" s="1"/>
  <c r="AP83" i="10"/>
  <c r="AQ83" i="10" s="1"/>
  <c r="AP140" i="10"/>
  <c r="AO125" i="10"/>
  <c r="AR125" i="10" s="1"/>
  <c r="AO134" i="10"/>
  <c r="AR134" i="10" s="1"/>
  <c r="AO131" i="10"/>
  <c r="AR131" i="10" s="1"/>
  <c r="AP131" i="10"/>
  <c r="AO20" i="10"/>
  <c r="AR20" i="10" s="1"/>
  <c r="AO80" i="10"/>
  <c r="AR80" i="10" s="1"/>
  <c r="AP63" i="10"/>
  <c r="AP139" i="10"/>
  <c r="AQ176" i="10"/>
  <c r="AP13" i="10"/>
  <c r="AO116" i="10"/>
  <c r="AR116" i="10" s="1"/>
  <c r="AP116" i="10"/>
  <c r="AQ116" i="10" s="1"/>
  <c r="AP44" i="10"/>
  <c r="AP4" i="10"/>
  <c r="AQ4" i="10" s="1"/>
  <c r="AO9" i="10"/>
  <c r="AR9" i="10" s="1"/>
  <c r="AO36" i="10"/>
  <c r="AR36" i="10" s="1"/>
  <c r="AO138" i="10"/>
  <c r="AR138" i="10" s="1"/>
  <c r="AO51" i="10"/>
  <c r="AR51" i="10" s="1"/>
  <c r="AO70" i="10"/>
  <c r="AR70" i="10" s="1"/>
  <c r="AP186" i="10"/>
  <c r="AQ186" i="10" s="1"/>
  <c r="AO176" i="10"/>
  <c r="AR176" i="10" s="1"/>
  <c r="AP6" i="10"/>
  <c r="AP154" i="10"/>
  <c r="AP3" i="10"/>
  <c r="AO99" i="10"/>
  <c r="AR99" i="10" s="1"/>
  <c r="AO108" i="10"/>
  <c r="AR108" i="10" s="1"/>
  <c r="AO166" i="10"/>
  <c r="AR166" i="10" s="1"/>
  <c r="AO165" i="10"/>
  <c r="AR165" i="10" s="1"/>
  <c r="AP35" i="10"/>
  <c r="AP28" i="10"/>
  <c r="AQ93" i="10"/>
  <c r="AQ115" i="10"/>
  <c r="AP25" i="10"/>
  <c r="AO93" i="10"/>
  <c r="AR93" i="10" s="1"/>
  <c r="AO61" i="10"/>
  <c r="AR61" i="10" s="1"/>
  <c r="AP185" i="10"/>
  <c r="AQ185" i="10" s="1"/>
  <c r="AO182" i="10"/>
  <c r="AR182" i="10" s="1"/>
  <c r="AP179" i="10"/>
  <c r="AP143" i="10"/>
  <c r="AQ143" i="10" s="1"/>
  <c r="AP172" i="10"/>
  <c r="AQ172" i="10" s="1"/>
  <c r="AO95" i="10"/>
  <c r="AR95" i="10" s="1"/>
  <c r="AO42" i="10"/>
  <c r="AR42" i="10" s="1"/>
  <c r="AO74" i="10"/>
  <c r="AR74" i="10" s="1"/>
  <c r="AO201" i="10"/>
  <c r="AR201" i="10" s="1"/>
  <c r="AO85" i="10"/>
  <c r="AR85" i="10" s="1"/>
  <c r="AF25" i="10"/>
  <c r="AF44" i="10"/>
  <c r="AF46" i="10"/>
  <c r="AF23" i="10"/>
  <c r="AF50" i="10"/>
  <c r="AF22" i="10"/>
  <c r="AF49" i="10"/>
  <c r="AF52" i="10"/>
  <c r="AF16" i="10"/>
  <c r="AF66" i="10"/>
  <c r="AF91" i="10"/>
  <c r="AF123" i="10"/>
  <c r="AF128" i="10"/>
  <c r="AF199" i="10"/>
  <c r="AF68" i="10"/>
  <c r="AF70" i="10"/>
  <c r="AF72" i="10"/>
  <c r="AF186" i="10"/>
  <c r="AF195" i="10"/>
  <c r="AF110" i="10"/>
  <c r="AF111" i="10"/>
  <c r="AF147" i="10"/>
  <c r="AF202" i="10"/>
  <c r="AF9" i="10"/>
  <c r="AF78" i="10"/>
  <c r="AF194" i="10"/>
  <c r="AF8" i="10"/>
  <c r="AF32" i="10"/>
  <c r="AF124" i="10"/>
  <c r="AG124" i="10" s="1"/>
  <c r="AF112" i="10"/>
  <c r="AF97" i="10"/>
  <c r="AF89" i="10"/>
  <c r="AF126" i="10"/>
  <c r="AF24" i="10"/>
  <c r="AP163" i="10"/>
  <c r="AF39" i="10"/>
  <c r="AF47" i="10"/>
  <c r="AF84" i="10"/>
  <c r="AF184" i="10"/>
  <c r="AG184" i="10" s="1"/>
  <c r="AF198" i="10"/>
  <c r="AF104" i="10"/>
  <c r="AH104" i="10" s="1"/>
  <c r="AI104" i="10" s="1"/>
  <c r="AF94" i="10"/>
  <c r="AF133" i="10"/>
  <c r="AF73" i="10"/>
  <c r="AF127" i="10"/>
  <c r="AF178" i="10"/>
  <c r="AF125" i="10"/>
  <c r="AF65" i="10"/>
  <c r="AF172" i="10"/>
  <c r="AG172" i="10" s="1"/>
  <c r="AF108" i="10"/>
  <c r="AF48" i="10"/>
  <c r="AF55" i="10"/>
  <c r="AF40" i="10"/>
  <c r="AF36" i="10"/>
  <c r="AF19" i="10"/>
  <c r="AF75" i="10"/>
  <c r="AF134" i="10"/>
  <c r="AF119" i="10"/>
  <c r="AF71" i="10"/>
  <c r="AF164" i="10"/>
  <c r="AF146" i="10"/>
  <c r="AF92" i="10"/>
  <c r="AF142" i="10"/>
  <c r="AF149" i="10"/>
  <c r="AO141" i="10"/>
  <c r="AR141" i="10" s="1"/>
  <c r="AP117" i="10"/>
  <c r="AO47" i="10"/>
  <c r="AR47" i="10" s="1"/>
  <c r="AO2" i="10"/>
  <c r="AR2" i="10" s="1"/>
  <c r="AO15" i="10"/>
  <c r="AR15" i="10" s="1"/>
  <c r="AF20" i="10"/>
  <c r="AG20" i="10" s="1"/>
  <c r="AF150" i="10"/>
  <c r="AH150" i="10" s="1"/>
  <c r="AI150" i="10" s="1"/>
  <c r="AF28" i="10"/>
  <c r="AF53" i="10"/>
  <c r="AF27" i="10"/>
  <c r="AF26" i="10"/>
  <c r="AF3" i="10"/>
  <c r="AF11" i="10"/>
  <c r="AH11" i="10" s="1"/>
  <c r="AI11" i="10" s="1"/>
  <c r="AF102" i="10"/>
  <c r="AF144" i="10"/>
  <c r="AF80" i="10"/>
  <c r="AF173" i="10"/>
  <c r="AF103" i="10"/>
  <c r="AH103" i="10" s="1"/>
  <c r="AI103" i="10" s="1"/>
  <c r="AF189" i="10"/>
  <c r="AF129" i="10"/>
  <c r="AF60" i="10"/>
  <c r="AF122" i="10"/>
  <c r="AF163" i="10"/>
  <c r="AF62" i="10"/>
  <c r="AF179" i="10"/>
  <c r="AF58" i="10"/>
  <c r="AF90" i="10"/>
  <c r="AH90" i="10" s="1"/>
  <c r="AI90" i="10" s="1"/>
  <c r="AF196" i="10"/>
  <c r="AG196" i="10" s="1"/>
  <c r="AF10" i="10"/>
  <c r="AF12" i="10"/>
  <c r="AF35" i="10"/>
  <c r="AF30" i="10"/>
  <c r="AF45" i="10"/>
  <c r="AF15" i="10"/>
  <c r="AH15" i="10" s="1"/>
  <c r="AI15" i="10" s="1"/>
  <c r="AF29" i="10"/>
  <c r="AF54" i="10"/>
  <c r="AG54" i="10" s="1"/>
  <c r="AF153" i="10"/>
  <c r="AF116" i="10"/>
  <c r="AF88" i="10"/>
  <c r="AH88" i="10" s="1"/>
  <c r="AI88" i="10" s="1"/>
  <c r="AF166" i="10"/>
  <c r="AF96" i="10"/>
  <c r="AG96" i="10" s="1"/>
  <c r="AF114" i="10"/>
  <c r="AF139" i="10"/>
  <c r="AF130" i="10"/>
  <c r="AF167" i="10"/>
  <c r="AF193" i="10"/>
  <c r="AG193" i="10" s="1"/>
  <c r="AF83" i="10"/>
  <c r="AF181" i="10"/>
  <c r="AF138" i="10"/>
  <c r="AF69" i="10"/>
  <c r="AH69" i="10" s="1"/>
  <c r="AI69" i="10" s="1"/>
  <c r="AF74" i="10"/>
  <c r="AF183" i="10"/>
  <c r="AF187" i="10"/>
  <c r="AF158" i="10"/>
  <c r="AF171" i="10"/>
  <c r="AF159" i="10"/>
  <c r="AF180" i="10"/>
  <c r="AF77" i="10"/>
  <c r="AF41" i="10"/>
  <c r="AF42" i="10"/>
  <c r="AF21" i="10"/>
  <c r="AF38" i="10"/>
  <c r="AF13" i="10"/>
  <c r="AF51" i="10"/>
  <c r="AG51" i="10" s="1"/>
  <c r="AF34" i="10"/>
  <c r="AF4" i="10"/>
  <c r="AG4" i="10" s="1"/>
  <c r="AF152" i="10"/>
  <c r="AF59" i="10"/>
  <c r="AG59" i="10" s="1"/>
  <c r="AF145" i="10"/>
  <c r="AF86" i="10"/>
  <c r="AF156" i="10"/>
  <c r="AF165" i="10"/>
  <c r="AF67" i="10"/>
  <c r="AF175" i="10"/>
  <c r="AF191" i="10"/>
  <c r="AF79" i="10"/>
  <c r="AF85" i="10"/>
  <c r="AF101" i="10"/>
  <c r="AF117" i="10"/>
  <c r="AF157" i="10"/>
  <c r="AF169" i="10"/>
  <c r="AF63" i="10"/>
  <c r="AF93" i="10"/>
  <c r="AG93" i="10" s="1"/>
  <c r="AF151" i="10"/>
  <c r="AH151" i="10" s="1"/>
  <c r="AI151" i="10" s="1"/>
  <c r="AT151" i="10" s="1"/>
  <c r="AF61" i="10"/>
  <c r="AH61" i="10" s="1"/>
  <c r="AI61" i="10" s="1"/>
  <c r="AF87" i="10"/>
  <c r="AH87" i="10" s="1"/>
  <c r="AI87" i="10" s="1"/>
  <c r="AF99" i="10"/>
  <c r="AG99" i="10" s="1"/>
  <c r="AF176" i="10"/>
  <c r="AH176" i="10" s="1"/>
  <c r="AI176" i="10" s="1"/>
  <c r="AQ188" i="10"/>
  <c r="AF188" i="10"/>
  <c r="AH188" i="10" s="1"/>
  <c r="AI188" i="10" s="1"/>
  <c r="AF115" i="10"/>
  <c r="AG115" i="10" s="1"/>
  <c r="AF200" i="10"/>
  <c r="AG200" i="10" s="1"/>
  <c r="AF155" i="10"/>
  <c r="AH155" i="10" s="1"/>
  <c r="AI155" i="10" s="1"/>
  <c r="AF121" i="10"/>
  <c r="AG121" i="10" s="1"/>
  <c r="AF100" i="10"/>
  <c r="AH100" i="10" s="1"/>
  <c r="AI100" i="10" s="1"/>
  <c r="AH129" i="10"/>
  <c r="AI129" i="10" s="1"/>
  <c r="AQ175" i="10"/>
  <c r="AQ145" i="10"/>
  <c r="AQ85" i="10"/>
  <c r="AQ123" i="10"/>
  <c r="AG83" i="10"/>
  <c r="AQ159" i="10"/>
  <c r="AQ120" i="10"/>
  <c r="AQ57" i="10"/>
  <c r="AQ84" i="10"/>
  <c r="AQ198" i="10"/>
  <c r="AQ73" i="10"/>
  <c r="AQ127" i="10"/>
  <c r="AQ51" i="10"/>
  <c r="AQ20" i="10"/>
  <c r="AQ86" i="10"/>
  <c r="AQ101" i="10"/>
  <c r="AQ197" i="10"/>
  <c r="AH5" i="10"/>
  <c r="AI5" i="10" s="1"/>
  <c r="AQ5" i="10"/>
  <c r="AQ15" i="10"/>
  <c r="AH54" i="10"/>
  <c r="AI54" i="10" s="1"/>
  <c r="AQ54" i="10"/>
  <c r="AH43" i="10"/>
  <c r="AI43" i="10" s="1"/>
  <c r="AQ43" i="10"/>
  <c r="AQ75" i="10"/>
  <c r="AQ182" i="10"/>
  <c r="AQ162" i="10"/>
  <c r="AQ107" i="10"/>
  <c r="AQ111" i="10"/>
  <c r="AQ134" i="10"/>
  <c r="AH131" i="10"/>
  <c r="AI131" i="10" s="1"/>
  <c r="AH72" i="10"/>
  <c r="AI72" i="10" s="1"/>
  <c r="AH141" i="10"/>
  <c r="AI141" i="10" s="1"/>
  <c r="AG81" i="10"/>
  <c r="AG160" i="10"/>
  <c r="AH82" i="10"/>
  <c r="AI82" i="10" s="1"/>
  <c r="AQ190" i="10"/>
  <c r="AH105" i="10"/>
  <c r="AI105" i="10" s="1"/>
  <c r="AG95" i="10"/>
  <c r="AH183" i="10"/>
  <c r="AI183" i="10" s="1"/>
  <c r="AH106" i="10"/>
  <c r="AI106" i="10" s="1"/>
  <c r="AH195" i="10"/>
  <c r="AI195" i="10" s="1"/>
  <c r="AG129" i="10"/>
  <c r="AH68" i="10"/>
  <c r="AI68" i="10" s="1"/>
  <c r="AG143" i="10"/>
  <c r="AH143" i="10"/>
  <c r="AI143" i="10" s="1"/>
  <c r="AG151" i="10"/>
  <c r="AG155" i="10"/>
  <c r="AG109" i="10"/>
  <c r="AH109" i="10"/>
  <c r="AI109" i="10" s="1"/>
  <c r="AG176" i="10"/>
  <c r="AH99" i="10"/>
  <c r="AI99" i="10" s="1"/>
  <c r="AQ74" i="10"/>
  <c r="AQ148" i="10"/>
  <c r="AQ164" i="10"/>
  <c r="AH120" i="10"/>
  <c r="AI120" i="10" s="1"/>
  <c r="AG120" i="10"/>
  <c r="AG185" i="10"/>
  <c r="AH185" i="10"/>
  <c r="AI185" i="10" s="1"/>
  <c r="AH64" i="10"/>
  <c r="AI64" i="10" s="1"/>
  <c r="AG64" i="10"/>
  <c r="AQ189" i="10"/>
  <c r="AQ181" i="10"/>
  <c r="AQ178" i="10"/>
  <c r="AQ108" i="10"/>
  <c r="AQ158" i="10"/>
  <c r="AQ110" i="10"/>
  <c r="AQ202" i="10"/>
  <c r="AG43" i="10"/>
  <c r="AG5" i="10"/>
  <c r="AG15" i="10" l="1"/>
  <c r="AH51" i="10"/>
  <c r="AI51" i="10" s="1"/>
  <c r="AH20" i="10"/>
  <c r="AI20" i="10" s="1"/>
  <c r="AT20" i="10" s="1"/>
  <c r="AH196" i="10"/>
  <c r="AI196" i="10" s="1"/>
  <c r="AT196" i="10" s="1"/>
  <c r="AG188" i="10"/>
  <c r="AJ188" i="10" s="1"/>
  <c r="AS188" i="10" s="1"/>
  <c r="AT155" i="10"/>
  <c r="AT99" i="10"/>
  <c r="AT87" i="10"/>
  <c r="AT90" i="10"/>
  <c r="AT100" i="10"/>
  <c r="AT61" i="10"/>
  <c r="AT176" i="10"/>
  <c r="AG61" i="10"/>
  <c r="AH93" i="10"/>
  <c r="AI93" i="10" s="1"/>
  <c r="AT93" i="10" s="1"/>
  <c r="AG90" i="10"/>
  <c r="AG100" i="10"/>
  <c r="AJ100" i="10" s="1"/>
  <c r="AS100" i="10" s="1"/>
  <c r="AT188" i="10"/>
  <c r="AH4" i="10"/>
  <c r="AI4" i="10" s="1"/>
  <c r="AT4" i="10" s="1"/>
  <c r="AH121" i="10"/>
  <c r="AI121" i="10" s="1"/>
  <c r="AT121" i="10" s="1"/>
  <c r="AG87" i="10"/>
  <c r="AJ87" i="10" s="1"/>
  <c r="AS87" i="10" s="1"/>
  <c r="AH200" i="10"/>
  <c r="AI200" i="10" s="1"/>
  <c r="AT200" i="10" s="1"/>
  <c r="AH115" i="10"/>
  <c r="AI115" i="10" s="1"/>
  <c r="AT115" i="10" s="1"/>
  <c r="AG102" i="10"/>
  <c r="AJ102" i="10" s="1"/>
  <c r="AS102" i="10" s="1"/>
  <c r="AH175" i="10"/>
  <c r="AI175" i="10" s="1"/>
  <c r="AT175" i="10" s="1"/>
  <c r="AG79" i="10"/>
  <c r="AJ79" i="10" s="1"/>
  <c r="AS79" i="10" s="1"/>
  <c r="AH191" i="10"/>
  <c r="AI191" i="10" s="1"/>
  <c r="AT191" i="10" s="1"/>
  <c r="AH79" i="10"/>
  <c r="AI79" i="10" s="1"/>
  <c r="AT79" i="10" s="1"/>
  <c r="AH85" i="10"/>
  <c r="AI85" i="10" s="1"/>
  <c r="AT85" i="10" s="1"/>
  <c r="AH59" i="10"/>
  <c r="AI59" i="10" s="1"/>
  <c r="AT59" i="10" s="1"/>
  <c r="AG85" i="10"/>
  <c r="AJ85" i="10" s="1"/>
  <c r="AS85" i="10" s="1"/>
  <c r="AG175" i="10"/>
  <c r="AJ175" i="10" s="1"/>
  <c r="AS175" i="10" s="1"/>
  <c r="AH145" i="10"/>
  <c r="AI145" i="10" s="1"/>
  <c r="AT145" i="10" s="1"/>
  <c r="AG191" i="10"/>
  <c r="AJ191" i="10" s="1"/>
  <c r="AS191" i="10" s="1"/>
  <c r="AG145" i="10"/>
  <c r="AJ145" i="10" s="1"/>
  <c r="AS145" i="10" s="1"/>
  <c r="AH96" i="10"/>
  <c r="AI96" i="10" s="1"/>
  <c r="AT96" i="10" s="1"/>
  <c r="AH123" i="10"/>
  <c r="AI123" i="10" s="1"/>
  <c r="AT123" i="10" s="1"/>
  <c r="AH193" i="10"/>
  <c r="AI193" i="10" s="1"/>
  <c r="AT193" i="10" s="1"/>
  <c r="AG123" i="10"/>
  <c r="AJ123" i="10" s="1"/>
  <c r="AS123" i="10" s="1"/>
  <c r="AH83" i="10"/>
  <c r="AI83" i="10" s="1"/>
  <c r="AT83" i="10" s="1"/>
  <c r="AH65" i="10"/>
  <c r="AI65" i="10" s="1"/>
  <c r="AT65" i="10" s="1"/>
  <c r="AG65" i="10"/>
  <c r="AJ65" i="10" s="1"/>
  <c r="AS65" i="10" s="1"/>
  <c r="AT64" i="10"/>
  <c r="AG159" i="10"/>
  <c r="AJ159" i="10" s="1"/>
  <c r="AS159" i="10" s="1"/>
  <c r="AT129" i="10"/>
  <c r="AH172" i="10"/>
  <c r="AI172" i="10" s="1"/>
  <c r="AT172" i="10" s="1"/>
  <c r="AH159" i="10"/>
  <c r="AI159" i="10" s="1"/>
  <c r="AT159" i="10" s="1"/>
  <c r="AT143" i="10"/>
  <c r="AT185" i="10"/>
  <c r="AT120" i="10"/>
  <c r="AT109" i="10"/>
  <c r="AH57" i="10"/>
  <c r="AI57" i="10" s="1"/>
  <c r="AT57" i="10" s="1"/>
  <c r="AG57" i="10"/>
  <c r="AJ57" i="10" s="1"/>
  <c r="AS57" i="10" s="1"/>
  <c r="AG127" i="10"/>
  <c r="AH169" i="10"/>
  <c r="AI169" i="10" s="1"/>
  <c r="AT169" i="10" s="1"/>
  <c r="AG84" i="10"/>
  <c r="AJ84" i="10" s="1"/>
  <c r="AS84" i="10" s="1"/>
  <c r="AH73" i="10"/>
  <c r="AI73" i="10" s="1"/>
  <c r="AT73" i="10" s="1"/>
  <c r="AH84" i="10"/>
  <c r="AI84" i="10" s="1"/>
  <c r="AT84" i="10" s="1"/>
  <c r="AH102" i="10"/>
  <c r="AI102" i="10" s="1"/>
  <c r="AT102" i="10" s="1"/>
  <c r="AG71" i="10"/>
  <c r="AJ71" i="10" s="1"/>
  <c r="AS71" i="10" s="1"/>
  <c r="AG73" i="10"/>
  <c r="AJ73" i="10" s="1"/>
  <c r="AS73" i="10" s="1"/>
  <c r="AH198" i="10"/>
  <c r="AI198" i="10" s="1"/>
  <c r="AT198" i="10" s="1"/>
  <c r="AH127" i="10"/>
  <c r="AI127" i="10" s="1"/>
  <c r="AT127" i="10" s="1"/>
  <c r="AT54" i="10"/>
  <c r="AT5" i="10"/>
  <c r="AH75" i="10"/>
  <c r="AI75" i="10" s="1"/>
  <c r="AT75" i="10" s="1"/>
  <c r="AT43" i="10"/>
  <c r="AT15" i="10"/>
  <c r="AT51" i="10"/>
  <c r="AG2" i="10"/>
  <c r="AJ2" i="10" s="1"/>
  <c r="AS2" i="10" s="1"/>
  <c r="AH2" i="10"/>
  <c r="AI2" i="10" s="1"/>
  <c r="AH71" i="10"/>
  <c r="AI71" i="10" s="1"/>
  <c r="AT71" i="10" s="1"/>
  <c r="AG169" i="10"/>
  <c r="AJ169" i="10" s="1"/>
  <c r="AS169" i="10" s="1"/>
  <c r="AG198" i="10"/>
  <c r="AJ198" i="10" s="1"/>
  <c r="AS198" i="10" s="1"/>
  <c r="AG134" i="10"/>
  <c r="AJ134" i="10" s="1"/>
  <c r="AS134" i="10" s="1"/>
  <c r="AH197" i="10"/>
  <c r="AI197" i="10" s="1"/>
  <c r="AT197" i="10" s="1"/>
  <c r="AH101" i="10"/>
  <c r="AI101" i="10" s="1"/>
  <c r="AT101" i="10" s="1"/>
  <c r="AG75" i="10"/>
  <c r="AJ75" i="10" s="1"/>
  <c r="AS75" i="10" s="1"/>
  <c r="AH190" i="10"/>
  <c r="AI190" i="10" s="1"/>
  <c r="AT190" i="10" s="1"/>
  <c r="AG197" i="10"/>
  <c r="AH134" i="10"/>
  <c r="AI134" i="10" s="1"/>
  <c r="AT134" i="10" s="1"/>
  <c r="AG190" i="10"/>
  <c r="AJ190" i="10" s="1"/>
  <c r="AS190" i="10" s="1"/>
  <c r="AH146" i="10"/>
  <c r="AI146" i="10" s="1"/>
  <c r="AT146" i="10" s="1"/>
  <c r="AH86" i="10"/>
  <c r="AI86" i="10" s="1"/>
  <c r="AT86" i="10" s="1"/>
  <c r="AH107" i="10"/>
  <c r="AI107" i="10" s="1"/>
  <c r="AT107" i="10" s="1"/>
  <c r="AH182" i="10"/>
  <c r="AI182" i="10" s="1"/>
  <c r="AT182" i="10" s="1"/>
  <c r="AG86" i="10"/>
  <c r="AJ86" i="10" s="1"/>
  <c r="AS86" i="10" s="1"/>
  <c r="AG101" i="10"/>
  <c r="AG162" i="10"/>
  <c r="AH111" i="10"/>
  <c r="AI111" i="10" s="1"/>
  <c r="AT111" i="10" s="1"/>
  <c r="AJ54" i="10"/>
  <c r="AS54" i="10" s="1"/>
  <c r="AJ43" i="10"/>
  <c r="AS43" i="10" s="1"/>
  <c r="AH7" i="10"/>
  <c r="AI7" i="10" s="1"/>
  <c r="AQ7" i="10"/>
  <c r="AG55" i="10"/>
  <c r="AQ55" i="10"/>
  <c r="AH44" i="10"/>
  <c r="AI44" i="10" s="1"/>
  <c r="AQ44" i="10"/>
  <c r="AG32" i="10"/>
  <c r="AQ32" i="10"/>
  <c r="AG50" i="10"/>
  <c r="AQ50" i="10"/>
  <c r="AG36" i="10"/>
  <c r="AQ36" i="10"/>
  <c r="AH17" i="10"/>
  <c r="AI17" i="10" s="1"/>
  <c r="AQ17" i="10"/>
  <c r="AH29" i="10"/>
  <c r="AI29" i="10" s="1"/>
  <c r="AQ29" i="10"/>
  <c r="AG30" i="10"/>
  <c r="AQ30" i="10"/>
  <c r="AG16" i="10"/>
  <c r="AQ16" i="10"/>
  <c r="AJ90" i="10"/>
  <c r="AS90" i="10" s="1"/>
  <c r="AJ64" i="10"/>
  <c r="AS64" i="10" s="1"/>
  <c r="AJ115" i="10"/>
  <c r="AS115" i="10" s="1"/>
  <c r="AJ81" i="10"/>
  <c r="AS81" i="10" s="1"/>
  <c r="AH126" i="10"/>
  <c r="AI126" i="10" s="1"/>
  <c r="AQ126" i="10"/>
  <c r="AH133" i="10"/>
  <c r="AI133" i="10" s="1"/>
  <c r="AQ133" i="10"/>
  <c r="AG60" i="10"/>
  <c r="AQ60" i="10"/>
  <c r="AG161" i="10"/>
  <c r="AQ161" i="10"/>
  <c r="AG187" i="10"/>
  <c r="AQ187" i="10"/>
  <c r="AH135" i="10"/>
  <c r="AI135" i="10" s="1"/>
  <c r="AQ135" i="10"/>
  <c r="AG153" i="10"/>
  <c r="AQ153" i="10"/>
  <c r="AH165" i="10"/>
  <c r="AI165" i="10" s="1"/>
  <c r="AQ165" i="10"/>
  <c r="AG171" i="10"/>
  <c r="AQ171" i="10"/>
  <c r="AH138" i="10"/>
  <c r="AI138" i="10" s="1"/>
  <c r="AQ138" i="10"/>
  <c r="AH174" i="10"/>
  <c r="AI174" i="10" s="1"/>
  <c r="AQ174" i="10"/>
  <c r="AH167" i="10"/>
  <c r="AI167" i="10" s="1"/>
  <c r="AQ167" i="10"/>
  <c r="AG139" i="10"/>
  <c r="AQ139" i="10"/>
  <c r="AG141" i="10"/>
  <c r="AQ141" i="10"/>
  <c r="AT141" i="10" s="1"/>
  <c r="AG68" i="10"/>
  <c r="AQ68" i="10"/>
  <c r="AT68" i="10" s="1"/>
  <c r="AG94" i="10"/>
  <c r="AQ94" i="10"/>
  <c r="AH113" i="10"/>
  <c r="AI113" i="10" s="1"/>
  <c r="AQ113" i="10"/>
  <c r="AH98" i="10"/>
  <c r="AI98" i="10" s="1"/>
  <c r="AQ98" i="10"/>
  <c r="AG23" i="10"/>
  <c r="AQ23" i="10"/>
  <c r="AG119" i="10"/>
  <c r="AQ119" i="10"/>
  <c r="AG63" i="10"/>
  <c r="AQ63" i="10"/>
  <c r="AG89" i="10"/>
  <c r="AQ89" i="10"/>
  <c r="AG24" i="10"/>
  <c r="AQ24" i="10"/>
  <c r="AH53" i="10"/>
  <c r="AI53" i="10" s="1"/>
  <c r="AQ53" i="10"/>
  <c r="AH46" i="10"/>
  <c r="AI46" i="10" s="1"/>
  <c r="AQ46" i="10"/>
  <c r="AH21" i="10"/>
  <c r="AI21" i="10" s="1"/>
  <c r="AQ21" i="10"/>
  <c r="AG22" i="10"/>
  <c r="AQ22" i="10"/>
  <c r="AH27" i="10"/>
  <c r="AI27" i="10" s="1"/>
  <c r="AQ27" i="10"/>
  <c r="AH33" i="10"/>
  <c r="AI33" i="10" s="1"/>
  <c r="AQ33" i="10"/>
  <c r="AH45" i="10"/>
  <c r="AI45" i="10" s="1"/>
  <c r="AQ45" i="10"/>
  <c r="AG34" i="10"/>
  <c r="AQ34" i="10"/>
  <c r="AH52" i="10"/>
  <c r="AI52" i="10" s="1"/>
  <c r="AQ52" i="10"/>
  <c r="AH49" i="10"/>
  <c r="AI49" i="10" s="1"/>
  <c r="AQ49" i="10"/>
  <c r="AJ185" i="10"/>
  <c r="AS185" i="10" s="1"/>
  <c r="AJ121" i="10"/>
  <c r="AS121" i="10" s="1"/>
  <c r="AJ61" i="10"/>
  <c r="AS61" i="10" s="1"/>
  <c r="AJ176" i="10"/>
  <c r="AS176" i="10" s="1"/>
  <c r="AJ160" i="10"/>
  <c r="AS160" i="10" s="1"/>
  <c r="AJ95" i="10"/>
  <c r="AS95" i="10" s="1"/>
  <c r="AJ155" i="10"/>
  <c r="AS155" i="10" s="1"/>
  <c r="AJ59" i="10"/>
  <c r="AS59" i="10" s="1"/>
  <c r="AJ172" i="10"/>
  <c r="AS172" i="10" s="1"/>
  <c r="AJ184" i="10"/>
  <c r="AS184" i="10" s="1"/>
  <c r="AG91" i="10"/>
  <c r="AQ91" i="10"/>
  <c r="AH170" i="10"/>
  <c r="AI170" i="10" s="1"/>
  <c r="AQ170" i="10"/>
  <c r="AH122" i="10"/>
  <c r="AI122" i="10" s="1"/>
  <c r="AQ122" i="10"/>
  <c r="AH173" i="10"/>
  <c r="AI173" i="10" s="1"/>
  <c r="AQ173" i="10"/>
  <c r="AH144" i="10"/>
  <c r="AI144" i="10" s="1"/>
  <c r="AQ144" i="10"/>
  <c r="AG194" i="10"/>
  <c r="AQ194" i="10"/>
  <c r="AG147" i="10"/>
  <c r="AQ147" i="10"/>
  <c r="AH180" i="10"/>
  <c r="AI180" i="10" s="1"/>
  <c r="AQ180" i="10"/>
  <c r="AG149" i="10"/>
  <c r="AQ149" i="10"/>
  <c r="AH95" i="10"/>
  <c r="AI95" i="10" s="1"/>
  <c r="AQ95" i="10"/>
  <c r="AH154" i="10"/>
  <c r="AI154" i="10" s="1"/>
  <c r="AQ154" i="10"/>
  <c r="AH140" i="10"/>
  <c r="AI140" i="10" s="1"/>
  <c r="AQ140" i="10"/>
  <c r="AH130" i="10"/>
  <c r="AI130" i="10" s="1"/>
  <c r="AQ130" i="10"/>
  <c r="AH81" i="10"/>
  <c r="AI81" i="10" s="1"/>
  <c r="AQ81" i="10"/>
  <c r="AH118" i="10"/>
  <c r="AI118" i="10" s="1"/>
  <c r="AQ118" i="10"/>
  <c r="AH179" i="10"/>
  <c r="AI179" i="10" s="1"/>
  <c r="AQ179" i="10"/>
  <c r="AG70" i="10"/>
  <c r="AQ70" i="10"/>
  <c r="AJ15" i="10"/>
  <c r="AS15" i="10" s="1"/>
  <c r="AJ4" i="10"/>
  <c r="AS4" i="10" s="1"/>
  <c r="AJ51" i="10"/>
  <c r="AS51" i="10" s="1"/>
  <c r="AJ5" i="10"/>
  <c r="AS5" i="10" s="1"/>
  <c r="AG28" i="10"/>
  <c r="AQ28" i="10"/>
  <c r="AH8" i="10"/>
  <c r="AI8" i="10" s="1"/>
  <c r="AQ8" i="10"/>
  <c r="AH6" i="10"/>
  <c r="AI6" i="10" s="1"/>
  <c r="AQ6" i="10"/>
  <c r="AH38" i="10"/>
  <c r="AI38" i="10" s="1"/>
  <c r="AQ38" i="10"/>
  <c r="AH39" i="10"/>
  <c r="AI39" i="10" s="1"/>
  <c r="AQ39" i="10"/>
  <c r="AH3" i="10"/>
  <c r="AI3" i="10" s="1"/>
  <c r="AQ3" i="10"/>
  <c r="AG18" i="10"/>
  <c r="AQ18" i="10"/>
  <c r="AG13" i="10"/>
  <c r="AQ13" i="10"/>
  <c r="AG25" i="10"/>
  <c r="AQ25" i="10"/>
  <c r="AG48" i="10"/>
  <c r="AQ48" i="10"/>
  <c r="AG19" i="10"/>
  <c r="AQ19" i="10"/>
  <c r="AJ196" i="10"/>
  <c r="AS196" i="10" s="1"/>
  <c r="AJ96" i="10"/>
  <c r="AS96" i="10" s="1"/>
  <c r="AJ120" i="10"/>
  <c r="AS120" i="10" s="1"/>
  <c r="AJ83" i="10"/>
  <c r="AS83" i="10" s="1"/>
  <c r="AJ93" i="10"/>
  <c r="AS93" i="10" s="1"/>
  <c r="AJ193" i="10"/>
  <c r="AS193" i="10" s="1"/>
  <c r="AJ200" i="10"/>
  <c r="AS200" i="10" s="1"/>
  <c r="AJ124" i="10"/>
  <c r="AS124" i="10" s="1"/>
  <c r="AJ143" i="10"/>
  <c r="AS143" i="10" s="1"/>
  <c r="AJ129" i="10"/>
  <c r="AS129" i="10" s="1"/>
  <c r="AG58" i="10"/>
  <c r="AQ58" i="10"/>
  <c r="AH163" i="10"/>
  <c r="AI163" i="10" s="1"/>
  <c r="AQ163" i="10"/>
  <c r="AG104" i="10"/>
  <c r="AQ104" i="10"/>
  <c r="AT104" i="10" s="1"/>
  <c r="AG80" i="10"/>
  <c r="AQ80" i="10"/>
  <c r="AH184" i="10"/>
  <c r="AI184" i="10" s="1"/>
  <c r="AQ184" i="10"/>
  <c r="AH117" i="10"/>
  <c r="AI117" i="10" s="1"/>
  <c r="AQ117" i="10"/>
  <c r="AH125" i="10"/>
  <c r="AI125" i="10" s="1"/>
  <c r="AQ125" i="10"/>
  <c r="AG168" i="10"/>
  <c r="AQ168" i="10"/>
  <c r="AG69" i="10"/>
  <c r="AQ69" i="10"/>
  <c r="AT69" i="10" s="1"/>
  <c r="AH201" i="10"/>
  <c r="AI201" i="10" s="1"/>
  <c r="AQ201" i="10"/>
  <c r="AG76" i="10"/>
  <c r="AQ76" i="10"/>
  <c r="AH136" i="10"/>
  <c r="AI136" i="10" s="1"/>
  <c r="AQ136" i="10"/>
  <c r="AH166" i="10"/>
  <c r="AI166" i="10" s="1"/>
  <c r="AQ166" i="10"/>
  <c r="AH177" i="10"/>
  <c r="AI177" i="10" s="1"/>
  <c r="AQ177" i="10"/>
  <c r="AG78" i="10"/>
  <c r="AQ78" i="10"/>
  <c r="AG66" i="10"/>
  <c r="AQ66" i="10"/>
  <c r="AG72" i="10"/>
  <c r="AQ72" i="10"/>
  <c r="AT72" i="10" s="1"/>
  <c r="AG131" i="10"/>
  <c r="AQ131" i="10"/>
  <c r="AT131" i="10" s="1"/>
  <c r="AG47" i="10"/>
  <c r="AQ47" i="10"/>
  <c r="AG31" i="10"/>
  <c r="AQ31" i="10"/>
  <c r="AG41" i="10"/>
  <c r="AQ41" i="10"/>
  <c r="AG42" i="10"/>
  <c r="AQ42" i="10"/>
  <c r="AG10" i="10"/>
  <c r="AQ10" i="10"/>
  <c r="AG26" i="10"/>
  <c r="AQ26" i="10"/>
  <c r="AH37" i="10"/>
  <c r="AI37" i="10" s="1"/>
  <c r="AQ37" i="10"/>
  <c r="AG40" i="10"/>
  <c r="AQ40" i="10"/>
  <c r="AH35" i="10"/>
  <c r="AI35" i="10" s="1"/>
  <c r="AQ35" i="10"/>
  <c r="AH12" i="10"/>
  <c r="AI12" i="10" s="1"/>
  <c r="AQ12" i="10"/>
  <c r="AG56" i="10"/>
  <c r="AQ56" i="10"/>
  <c r="AG14" i="10"/>
  <c r="AQ14" i="10"/>
  <c r="AJ99" i="10"/>
  <c r="AS99" i="10" s="1"/>
  <c r="AJ109" i="10"/>
  <c r="AS109" i="10" s="1"/>
  <c r="AJ151" i="10"/>
  <c r="AS151" i="10" s="1"/>
  <c r="AG97" i="10"/>
  <c r="AQ97" i="10"/>
  <c r="AG62" i="10"/>
  <c r="AQ62" i="10"/>
  <c r="AH124" i="10"/>
  <c r="AI124" i="10" s="1"/>
  <c r="AQ124" i="10"/>
  <c r="AG157" i="10"/>
  <c r="AQ157" i="10"/>
  <c r="AG77" i="10"/>
  <c r="AQ77" i="10"/>
  <c r="AH137" i="10"/>
  <c r="AI137" i="10" s="1"/>
  <c r="AQ137" i="10"/>
  <c r="AG195" i="10"/>
  <c r="AQ195" i="10"/>
  <c r="AT195" i="10" s="1"/>
  <c r="AG106" i="10"/>
  <c r="AQ106" i="10"/>
  <c r="AT106" i="10" s="1"/>
  <c r="AG183" i="10"/>
  <c r="AQ183" i="10"/>
  <c r="AT183" i="10" s="1"/>
  <c r="AG105" i="10"/>
  <c r="AQ105" i="10"/>
  <c r="AT105" i="10" s="1"/>
  <c r="AG82" i="10"/>
  <c r="AQ82" i="10"/>
  <c r="AT82" i="10" s="1"/>
  <c r="AH160" i="10"/>
  <c r="AI160" i="10" s="1"/>
  <c r="AQ160" i="10"/>
  <c r="AG88" i="10"/>
  <c r="AQ88" i="10"/>
  <c r="AT88" i="10" s="1"/>
  <c r="AH9" i="10"/>
  <c r="AI9" i="10" s="1"/>
  <c r="AQ9" i="10"/>
  <c r="AG103" i="10"/>
  <c r="AQ103" i="10"/>
  <c r="AT103" i="10" s="1"/>
  <c r="AG150" i="10"/>
  <c r="AQ150" i="10"/>
  <c r="AT150" i="10" s="1"/>
  <c r="AG11" i="10"/>
  <c r="AQ11" i="10"/>
  <c r="AT11" i="10" s="1"/>
  <c r="AJ20" i="10"/>
  <c r="AS20" i="10" s="1"/>
  <c r="AG138" i="10"/>
  <c r="AG192" i="10"/>
  <c r="AH23" i="10"/>
  <c r="AI23" i="10" s="1"/>
  <c r="AH132" i="10"/>
  <c r="AI132" i="10" s="1"/>
  <c r="AT132" i="10" s="1"/>
  <c r="AH192" i="10"/>
  <c r="AI192" i="10" s="1"/>
  <c r="AT192" i="10" s="1"/>
  <c r="AH94" i="10"/>
  <c r="AI94" i="10" s="1"/>
  <c r="AG182" i="10"/>
  <c r="AG98" i="10"/>
  <c r="AH139" i="10"/>
  <c r="AI139" i="10" s="1"/>
  <c r="AH70" i="10"/>
  <c r="AI70" i="10" s="1"/>
  <c r="AG132" i="10"/>
  <c r="AH162" i="10"/>
  <c r="AI162" i="10" s="1"/>
  <c r="AT162" i="10" s="1"/>
  <c r="AG135" i="10"/>
  <c r="AG107" i="10"/>
  <c r="AG111" i="10"/>
  <c r="AG146" i="10"/>
  <c r="AG179" i="10"/>
  <c r="AG113" i="10"/>
  <c r="AG174" i="10"/>
  <c r="AH63" i="10"/>
  <c r="AI63" i="10" s="1"/>
  <c r="AH60" i="10"/>
  <c r="AI60" i="10" s="1"/>
  <c r="AH89" i="10"/>
  <c r="AI89" i="10" s="1"/>
  <c r="AH119" i="10"/>
  <c r="AI119" i="10" s="1"/>
  <c r="AH147" i="10"/>
  <c r="AI147" i="10" s="1"/>
  <c r="AG118" i="10"/>
  <c r="AG167" i="10"/>
  <c r="AH194" i="10"/>
  <c r="AI194" i="10" s="1"/>
  <c r="AH171" i="10"/>
  <c r="AI171" i="10" s="1"/>
  <c r="AG133" i="10"/>
  <c r="AH187" i="10"/>
  <c r="AI187" i="10" s="1"/>
  <c r="AH47" i="10"/>
  <c r="AI47" i="10" s="1"/>
  <c r="AH80" i="10"/>
  <c r="AI80" i="10" s="1"/>
  <c r="AH66" i="10"/>
  <c r="AI66" i="10" s="1"/>
  <c r="AH168" i="10"/>
  <c r="AI168" i="10" s="1"/>
  <c r="AG163" i="10"/>
  <c r="AG9" i="10"/>
  <c r="AH62" i="10"/>
  <c r="AI62" i="10" s="1"/>
  <c r="AG125" i="10"/>
  <c r="AH76" i="10"/>
  <c r="AI76" i="10" s="1"/>
  <c r="AG166" i="10"/>
  <c r="AH157" i="10"/>
  <c r="AI157" i="10" s="1"/>
  <c r="AH34" i="10"/>
  <c r="AI34" i="10" s="1"/>
  <c r="AG49" i="10"/>
  <c r="AG117" i="10"/>
  <c r="AH153" i="10"/>
  <c r="AI153" i="10" s="1"/>
  <c r="AG165" i="10"/>
  <c r="AH97" i="10"/>
  <c r="AI97" i="10" s="1"/>
  <c r="AH161" i="10"/>
  <c r="AI161" i="10" s="1"/>
  <c r="AG126" i="10"/>
  <c r="AG122" i="10"/>
  <c r="AG180" i="10"/>
  <c r="AG154" i="10"/>
  <c r="AG136" i="10"/>
  <c r="AG177" i="10"/>
  <c r="AG201" i="10"/>
  <c r="AH78" i="10"/>
  <c r="AI78" i="10" s="1"/>
  <c r="AH58" i="10"/>
  <c r="AI58" i="10" s="1"/>
  <c r="AG170" i="10"/>
  <c r="AG144" i="10"/>
  <c r="AH149" i="10"/>
  <c r="AI149" i="10" s="1"/>
  <c r="AG140" i="10"/>
  <c r="AG130" i="10"/>
  <c r="AH91" i="10"/>
  <c r="AI91" i="10" s="1"/>
  <c r="AQ2" i="10"/>
  <c r="AG173" i="10"/>
  <c r="AH77" i="10"/>
  <c r="AI77" i="10" s="1"/>
  <c r="AG137" i="10"/>
  <c r="AH128" i="10"/>
  <c r="AI128" i="10" s="1"/>
  <c r="AT128" i="10" s="1"/>
  <c r="AG128" i="10"/>
  <c r="AH148" i="10"/>
  <c r="AI148" i="10" s="1"/>
  <c r="AT148" i="10" s="1"/>
  <c r="AG148" i="10"/>
  <c r="AG110" i="10"/>
  <c r="AH110" i="10"/>
  <c r="AI110" i="10" s="1"/>
  <c r="AT110" i="10" s="1"/>
  <c r="AG181" i="10"/>
  <c r="AH181" i="10"/>
  <c r="AI181" i="10" s="1"/>
  <c r="AT181" i="10" s="1"/>
  <c r="AH112" i="10"/>
  <c r="AI112" i="10" s="1"/>
  <c r="AT112" i="10" s="1"/>
  <c r="AG112" i="10"/>
  <c r="AH202" i="10"/>
  <c r="AI202" i="10" s="1"/>
  <c r="AT202" i="10" s="1"/>
  <c r="AG202" i="10"/>
  <c r="AH108" i="10"/>
  <c r="AI108" i="10" s="1"/>
  <c r="AT108" i="10" s="1"/>
  <c r="AG108" i="10"/>
  <c r="AG178" i="10"/>
  <c r="AH178" i="10"/>
  <c r="AI178" i="10" s="1"/>
  <c r="AT178" i="10" s="1"/>
  <c r="AG142" i="10"/>
  <c r="AH142" i="10"/>
  <c r="AI142" i="10" s="1"/>
  <c r="AT142" i="10" s="1"/>
  <c r="AH164" i="10"/>
  <c r="AI164" i="10" s="1"/>
  <c r="AT164" i="10" s="1"/>
  <c r="AG164" i="10"/>
  <c r="AH114" i="10"/>
  <c r="AI114" i="10" s="1"/>
  <c r="AT114" i="10" s="1"/>
  <c r="AG114" i="10"/>
  <c r="AG158" i="10"/>
  <c r="AH158" i="10"/>
  <c r="AI158" i="10" s="1"/>
  <c r="AT158" i="10" s="1"/>
  <c r="AH116" i="10"/>
  <c r="AI116" i="10" s="1"/>
  <c r="AT116" i="10" s="1"/>
  <c r="AG116" i="10"/>
  <c r="AH92" i="10"/>
  <c r="AI92" i="10" s="1"/>
  <c r="AT92" i="10" s="1"/>
  <c r="AG92" i="10"/>
  <c r="AG199" i="10"/>
  <c r="AH199" i="10"/>
  <c r="AI199" i="10" s="1"/>
  <c r="AT199" i="10" s="1"/>
  <c r="AG67" i="10"/>
  <c r="AH67" i="10"/>
  <c r="AI67" i="10" s="1"/>
  <c r="AT67" i="10" s="1"/>
  <c r="AH186" i="10"/>
  <c r="AI186" i="10" s="1"/>
  <c r="AT186" i="10" s="1"/>
  <c r="AG186" i="10"/>
  <c r="AH152" i="10"/>
  <c r="AI152" i="10" s="1"/>
  <c r="AT152" i="10" s="1"/>
  <c r="AG152" i="10"/>
  <c r="AH189" i="10"/>
  <c r="AI189" i="10" s="1"/>
  <c r="AT189" i="10" s="1"/>
  <c r="AG189" i="10"/>
  <c r="AH156" i="10"/>
  <c r="AI156" i="10" s="1"/>
  <c r="AT156" i="10" s="1"/>
  <c r="AG156" i="10"/>
  <c r="AH74" i="10"/>
  <c r="AI74" i="10" s="1"/>
  <c r="AT74" i="10" s="1"/>
  <c r="AG74" i="10"/>
  <c r="AH14" i="10"/>
  <c r="AI14" i="10" s="1"/>
  <c r="AH19" i="10"/>
  <c r="AI19" i="10" s="1"/>
  <c r="AH16" i="10"/>
  <c r="AI16" i="10" s="1"/>
  <c r="AG38" i="10"/>
  <c r="AG17" i="10"/>
  <c r="AH32" i="10"/>
  <c r="AI32" i="10" s="1"/>
  <c r="AH30" i="10"/>
  <c r="AI30" i="10" s="1"/>
  <c r="AH50" i="10"/>
  <c r="AI50" i="10" s="1"/>
  <c r="AH25" i="10"/>
  <c r="AI25" i="10" s="1"/>
  <c r="AH18" i="10"/>
  <c r="AI18" i="10" s="1"/>
  <c r="AG33" i="10"/>
  <c r="AG52" i="10"/>
  <c r="AG45" i="10"/>
  <c r="AH13" i="10"/>
  <c r="AI13" i="10" s="1"/>
  <c r="AG6" i="10"/>
  <c r="AH48" i="10"/>
  <c r="AI48" i="10" s="1"/>
  <c r="AG53" i="10"/>
  <c r="AG3" i="10"/>
  <c r="AG12" i="10"/>
  <c r="AG37" i="10"/>
  <c r="AG35" i="10"/>
  <c r="AG29" i="10"/>
  <c r="AH56" i="10"/>
  <c r="AI56" i="10" s="1"/>
  <c r="AH22" i="10"/>
  <c r="AI22" i="10" s="1"/>
  <c r="AH10" i="10"/>
  <c r="AI10" i="10" s="1"/>
  <c r="AG8" i="10"/>
  <c r="AH40" i="10"/>
  <c r="AI40" i="10" s="1"/>
  <c r="AH36" i="10"/>
  <c r="AI36" i="10" s="1"/>
  <c r="AG27" i="10"/>
  <c r="AH55" i="10"/>
  <c r="AI55" i="10" s="1"/>
  <c r="AH41" i="10"/>
  <c r="AI41" i="10" s="1"/>
  <c r="AG44" i="10"/>
  <c r="AG39" i="10"/>
  <c r="AH42" i="10"/>
  <c r="AI42" i="10" s="1"/>
  <c r="AH26" i="10"/>
  <c r="AI26" i="10" s="1"/>
  <c r="AG7" i="10"/>
  <c r="AG21" i="10"/>
  <c r="AH31" i="10"/>
  <c r="AI31" i="10" s="1"/>
  <c r="AG46" i="10"/>
  <c r="AH28" i="10"/>
  <c r="AI28" i="10" s="1"/>
  <c r="AH24" i="10"/>
  <c r="AI24" i="10" s="1"/>
  <c r="AJ127" i="10" l="1"/>
  <c r="AS127" i="10" s="1"/>
  <c r="B6" i="10"/>
  <c r="B7" i="10" s="1"/>
  <c r="AT149" i="10"/>
  <c r="AT147" i="10"/>
  <c r="AT16" i="10"/>
  <c r="AT9" i="10"/>
  <c r="AT160" i="10"/>
  <c r="AT137" i="10"/>
  <c r="AT63" i="10"/>
  <c r="AT171" i="10"/>
  <c r="AT37" i="10"/>
  <c r="AT184" i="10"/>
  <c r="AT35" i="10"/>
  <c r="AT166" i="10"/>
  <c r="AT125" i="10"/>
  <c r="AT13" i="10"/>
  <c r="AT3" i="10"/>
  <c r="AT38" i="10"/>
  <c r="AT8" i="10"/>
  <c r="AT118" i="10"/>
  <c r="AT130" i="10"/>
  <c r="AT154" i="10"/>
  <c r="AT144" i="10"/>
  <c r="AT122" i="10"/>
  <c r="AT91" i="10"/>
  <c r="AT49" i="10"/>
  <c r="AT33" i="10"/>
  <c r="AT46" i="10"/>
  <c r="AT23" i="10"/>
  <c r="AT113" i="10"/>
  <c r="AT174" i="10"/>
  <c r="AT126" i="10"/>
  <c r="AT29" i="10"/>
  <c r="AT32" i="10"/>
  <c r="AT55" i="10"/>
  <c r="AT40" i="10"/>
  <c r="AT26" i="10"/>
  <c r="AT80" i="10"/>
  <c r="AT24" i="10"/>
  <c r="AT187" i="10"/>
  <c r="AT42" i="10"/>
  <c r="AT70" i="10"/>
  <c r="AT34" i="10"/>
  <c r="AT31" i="10"/>
  <c r="AT62" i="10"/>
  <c r="AT153" i="10"/>
  <c r="AT14" i="10"/>
  <c r="AT177" i="10"/>
  <c r="AT136" i="10"/>
  <c r="AT117" i="10"/>
  <c r="AT163" i="10"/>
  <c r="AT77" i="10"/>
  <c r="AT124" i="10"/>
  <c r="AT97" i="10"/>
  <c r="AT19" i="10"/>
  <c r="AT25" i="10"/>
  <c r="AT18" i="10"/>
  <c r="AT39" i="10"/>
  <c r="AT6" i="10"/>
  <c r="AT28" i="10"/>
  <c r="AT179" i="10"/>
  <c r="AT81" i="10"/>
  <c r="AT140" i="10"/>
  <c r="AT95" i="10"/>
  <c r="AT180" i="10"/>
  <c r="AT194" i="10"/>
  <c r="AT173" i="10"/>
  <c r="AT170" i="10"/>
  <c r="AT52" i="10"/>
  <c r="AT45" i="10"/>
  <c r="AT27" i="10"/>
  <c r="AT21" i="10"/>
  <c r="AT53" i="10"/>
  <c r="AT89" i="10"/>
  <c r="AT119" i="10"/>
  <c r="AT98" i="10"/>
  <c r="AT94" i="10"/>
  <c r="AT167" i="10"/>
  <c r="AT138" i="10"/>
  <c r="AT165" i="10"/>
  <c r="AT135" i="10"/>
  <c r="AT161" i="10"/>
  <c r="AT133" i="10"/>
  <c r="AT30" i="10"/>
  <c r="AT17" i="10"/>
  <c r="AT50" i="10"/>
  <c r="AT44" i="10"/>
  <c r="AT7" i="10"/>
  <c r="AT157" i="10"/>
  <c r="AT48" i="10"/>
  <c r="AT22" i="10"/>
  <c r="AT139" i="10"/>
  <c r="AT60" i="10"/>
  <c r="AT36" i="10"/>
  <c r="AT12" i="10"/>
  <c r="AT66" i="10"/>
  <c r="AT201" i="10"/>
  <c r="AT168" i="10"/>
  <c r="AT2" i="10"/>
  <c r="AT56" i="10"/>
  <c r="AT10" i="10"/>
  <c r="AT41" i="10"/>
  <c r="AT47" i="10"/>
  <c r="AT78" i="10"/>
  <c r="AT76" i="10"/>
  <c r="AT58" i="10"/>
  <c r="AJ162" i="10"/>
  <c r="AS162" i="10" s="1"/>
  <c r="AJ197" i="10"/>
  <c r="AS197" i="10" s="1"/>
  <c r="AJ101" i="10"/>
  <c r="AS101" i="10" s="1"/>
  <c r="AJ39" i="10"/>
  <c r="AS39" i="10" s="1"/>
  <c r="AJ53" i="10"/>
  <c r="AS53" i="10" s="1"/>
  <c r="AJ67" i="10"/>
  <c r="AS67" i="10" s="1"/>
  <c r="AJ178" i="10"/>
  <c r="AS178" i="10" s="1"/>
  <c r="AJ181" i="10"/>
  <c r="AS181" i="10" s="1"/>
  <c r="AJ170" i="10"/>
  <c r="AS170" i="10" s="1"/>
  <c r="AJ122" i="10"/>
  <c r="AS122" i="10" s="1"/>
  <c r="AJ167" i="10"/>
  <c r="AS167" i="10" s="1"/>
  <c r="AJ113" i="10"/>
  <c r="AS113" i="10" s="1"/>
  <c r="AJ107" i="10"/>
  <c r="AS107" i="10" s="1"/>
  <c r="AJ29" i="10"/>
  <c r="AS29" i="10" s="1"/>
  <c r="AJ156" i="10"/>
  <c r="AS156" i="10" s="1"/>
  <c r="AJ92" i="10"/>
  <c r="AS92" i="10" s="1"/>
  <c r="AJ164" i="10"/>
  <c r="AS164" i="10" s="1"/>
  <c r="AJ202" i="10"/>
  <c r="AS202" i="10" s="1"/>
  <c r="AJ148" i="10"/>
  <c r="AS148" i="10" s="1"/>
  <c r="AJ201" i="10"/>
  <c r="AS201" i="10" s="1"/>
  <c r="AJ163" i="10"/>
  <c r="AS163" i="10" s="1"/>
  <c r="AJ174" i="10"/>
  <c r="AS174" i="10" s="1"/>
  <c r="AJ132" i="10"/>
  <c r="AS132" i="10" s="1"/>
  <c r="AJ105" i="10"/>
  <c r="AS105" i="10" s="1"/>
  <c r="AJ62" i="10"/>
  <c r="AS62" i="10" s="1"/>
  <c r="AJ56" i="10"/>
  <c r="AS56" i="10" s="1"/>
  <c r="AJ41" i="10"/>
  <c r="AS41" i="10" s="1"/>
  <c r="AJ72" i="10"/>
  <c r="AS72" i="10" s="1"/>
  <c r="AJ69" i="10"/>
  <c r="AS69" i="10" s="1"/>
  <c r="AJ104" i="10"/>
  <c r="AS104" i="10" s="1"/>
  <c r="AJ48" i="10"/>
  <c r="AS48" i="10" s="1"/>
  <c r="AJ70" i="10"/>
  <c r="AS70" i="10" s="1"/>
  <c r="AJ149" i="10"/>
  <c r="AS149" i="10" s="1"/>
  <c r="AJ147" i="10"/>
  <c r="AS147" i="10" s="1"/>
  <c r="AJ89" i="10"/>
  <c r="AS89" i="10" s="1"/>
  <c r="AJ141" i="10"/>
  <c r="AS141" i="10" s="1"/>
  <c r="AJ16" i="10"/>
  <c r="AS16" i="10" s="1"/>
  <c r="AJ36" i="10"/>
  <c r="AS36" i="10" s="1"/>
  <c r="AJ46" i="10"/>
  <c r="AS46" i="10" s="1"/>
  <c r="AJ6" i="10"/>
  <c r="AS6" i="10" s="1"/>
  <c r="AJ7" i="10"/>
  <c r="AS7" i="10" s="1"/>
  <c r="AJ44" i="10"/>
  <c r="AS44" i="10" s="1"/>
  <c r="AJ37" i="10"/>
  <c r="AS37" i="10" s="1"/>
  <c r="AJ52" i="10"/>
  <c r="AS52" i="10" s="1"/>
  <c r="AJ38" i="10"/>
  <c r="AS38" i="10" s="1"/>
  <c r="AJ74" i="10"/>
  <c r="AS74" i="10" s="1"/>
  <c r="AJ189" i="10"/>
  <c r="AS189" i="10" s="1"/>
  <c r="AJ186" i="10"/>
  <c r="AS186" i="10" s="1"/>
  <c r="AJ116" i="10"/>
  <c r="AS116" i="10" s="1"/>
  <c r="AJ114" i="10"/>
  <c r="AS114" i="10" s="1"/>
  <c r="AJ108" i="10"/>
  <c r="AS108" i="10" s="1"/>
  <c r="AJ112" i="10"/>
  <c r="AS112" i="10" s="1"/>
  <c r="AJ128" i="10"/>
  <c r="AS128" i="10" s="1"/>
  <c r="AJ173" i="10"/>
  <c r="AS173" i="10" s="1"/>
  <c r="AJ140" i="10"/>
  <c r="AS140" i="10" s="1"/>
  <c r="AJ136" i="10"/>
  <c r="AS136" i="10" s="1"/>
  <c r="AJ126" i="10"/>
  <c r="AS126" i="10" s="1"/>
  <c r="AJ133" i="10"/>
  <c r="AS133" i="10" s="1"/>
  <c r="AJ118" i="10"/>
  <c r="AS118" i="10" s="1"/>
  <c r="AJ179" i="10"/>
  <c r="AS179" i="10" s="1"/>
  <c r="AJ135" i="10"/>
  <c r="AS135" i="10" s="1"/>
  <c r="AJ138" i="10"/>
  <c r="AS138" i="10" s="1"/>
  <c r="AJ11" i="10"/>
  <c r="AS11" i="10" s="1"/>
  <c r="AJ103" i="10"/>
  <c r="AS103" i="10" s="1"/>
  <c r="AJ88" i="10"/>
  <c r="AS88" i="10" s="1"/>
  <c r="AJ82" i="10"/>
  <c r="AS82" i="10" s="1"/>
  <c r="AJ183" i="10"/>
  <c r="AS183" i="10" s="1"/>
  <c r="AJ195" i="10"/>
  <c r="AS195" i="10" s="1"/>
  <c r="AJ77" i="10"/>
  <c r="AS77" i="10" s="1"/>
  <c r="AJ97" i="10"/>
  <c r="AS97" i="10" s="1"/>
  <c r="AJ14" i="10"/>
  <c r="AS14" i="10" s="1"/>
  <c r="AJ40" i="10"/>
  <c r="AS40" i="10" s="1"/>
  <c r="AJ26" i="10"/>
  <c r="AS26" i="10" s="1"/>
  <c r="AJ42" i="10"/>
  <c r="AS42" i="10" s="1"/>
  <c r="AJ31" i="10"/>
  <c r="AS31" i="10" s="1"/>
  <c r="AJ131" i="10"/>
  <c r="AS131" i="10" s="1"/>
  <c r="AJ66" i="10"/>
  <c r="AS66" i="10" s="1"/>
  <c r="AJ168" i="10"/>
  <c r="AS168" i="10" s="1"/>
  <c r="AJ80" i="10"/>
  <c r="AS80" i="10" s="1"/>
  <c r="AJ19" i="10"/>
  <c r="AS19" i="10" s="1"/>
  <c r="AJ25" i="10"/>
  <c r="AS25" i="10" s="1"/>
  <c r="AJ18" i="10"/>
  <c r="AS18" i="10" s="1"/>
  <c r="AJ28" i="10"/>
  <c r="AS28" i="10" s="1"/>
  <c r="AJ194" i="10"/>
  <c r="AS194" i="10" s="1"/>
  <c r="AJ34" i="10"/>
  <c r="AS34" i="10" s="1"/>
  <c r="AJ22" i="10"/>
  <c r="AS22" i="10" s="1"/>
  <c r="AJ24" i="10"/>
  <c r="AS24" i="10" s="1"/>
  <c r="AJ63" i="10"/>
  <c r="AS63" i="10" s="1"/>
  <c r="AJ23" i="10"/>
  <c r="AS23" i="10" s="1"/>
  <c r="AJ68" i="10"/>
  <c r="AS68" i="10" s="1"/>
  <c r="AJ139" i="10"/>
  <c r="AS139" i="10" s="1"/>
  <c r="AJ171" i="10"/>
  <c r="AS171" i="10" s="1"/>
  <c r="AJ153" i="10"/>
  <c r="AS153" i="10" s="1"/>
  <c r="AJ187" i="10"/>
  <c r="AS187" i="10" s="1"/>
  <c r="AJ60" i="10"/>
  <c r="AS60" i="10" s="1"/>
  <c r="AJ30" i="10"/>
  <c r="AS30" i="10" s="1"/>
  <c r="AJ50" i="10"/>
  <c r="AS50" i="10" s="1"/>
  <c r="AJ21" i="10"/>
  <c r="AS21" i="10" s="1"/>
  <c r="AJ27" i="10"/>
  <c r="AS27" i="10" s="1"/>
  <c r="AJ35" i="10"/>
  <c r="AS35" i="10" s="1"/>
  <c r="AJ45" i="10"/>
  <c r="AS45" i="10" s="1"/>
  <c r="AJ17" i="10"/>
  <c r="AS17" i="10" s="1"/>
  <c r="AJ158" i="10"/>
  <c r="AS158" i="10" s="1"/>
  <c r="AJ130" i="10"/>
  <c r="AS130" i="10" s="1"/>
  <c r="AJ177" i="10"/>
  <c r="AS177" i="10" s="1"/>
  <c r="AJ165" i="10"/>
  <c r="AS165" i="10" s="1"/>
  <c r="AJ125" i="10"/>
  <c r="AS125" i="10" s="1"/>
  <c r="AJ192" i="10"/>
  <c r="AS192" i="10" s="1"/>
  <c r="AJ8" i="10"/>
  <c r="AS8" i="10" s="1"/>
  <c r="AJ3" i="10"/>
  <c r="AS3" i="10" s="1"/>
  <c r="AJ152" i="10"/>
  <c r="AS152" i="10" s="1"/>
  <c r="AJ137" i="10"/>
  <c r="AS137" i="10" s="1"/>
  <c r="AJ144" i="10"/>
  <c r="AS144" i="10" s="1"/>
  <c r="AJ180" i="10"/>
  <c r="AS180" i="10" s="1"/>
  <c r="AJ49" i="10"/>
  <c r="AS49" i="10" s="1"/>
  <c r="AJ111" i="10"/>
  <c r="AS111" i="10" s="1"/>
  <c r="AJ182" i="10"/>
  <c r="AS182" i="10" s="1"/>
  <c r="AJ150" i="10"/>
  <c r="AS150" i="10" s="1"/>
  <c r="AJ106" i="10"/>
  <c r="AS106" i="10" s="1"/>
  <c r="AJ157" i="10"/>
  <c r="AS157" i="10" s="1"/>
  <c r="AJ10" i="10"/>
  <c r="AS10" i="10" s="1"/>
  <c r="AJ47" i="10"/>
  <c r="AS47" i="10" s="1"/>
  <c r="AJ78" i="10"/>
  <c r="AS78" i="10" s="1"/>
  <c r="AJ76" i="10"/>
  <c r="AS76" i="10" s="1"/>
  <c r="AJ58" i="10"/>
  <c r="AS58" i="10" s="1"/>
  <c r="AJ13" i="10"/>
  <c r="AS13" i="10" s="1"/>
  <c r="AJ91" i="10"/>
  <c r="AS91" i="10" s="1"/>
  <c r="AJ119" i="10"/>
  <c r="AS119" i="10" s="1"/>
  <c r="AJ94" i="10"/>
  <c r="AS94" i="10" s="1"/>
  <c r="AJ161" i="10"/>
  <c r="AS161" i="10" s="1"/>
  <c r="AJ32" i="10"/>
  <c r="AS32" i="10" s="1"/>
  <c r="AJ55" i="10"/>
  <c r="AS55" i="10" s="1"/>
  <c r="AJ12" i="10"/>
  <c r="AS12" i="10" s="1"/>
  <c r="AJ33" i="10"/>
  <c r="AS33" i="10" s="1"/>
  <c r="AJ199" i="10"/>
  <c r="AS199" i="10" s="1"/>
  <c r="AJ142" i="10"/>
  <c r="AS142" i="10" s="1"/>
  <c r="AJ110" i="10"/>
  <c r="AS110" i="10" s="1"/>
  <c r="AJ154" i="10"/>
  <c r="AS154" i="10" s="1"/>
  <c r="AJ117" i="10"/>
  <c r="AS117" i="10" s="1"/>
  <c r="AJ166" i="10"/>
  <c r="AS166" i="10" s="1"/>
  <c r="AJ9" i="10"/>
  <c r="AS9" i="10" s="1"/>
  <c r="AJ146" i="10"/>
  <c r="AS146" i="10" s="1"/>
  <c r="AJ98" i="10"/>
  <c r="AS98" i="10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>Nominal Input Voltage</t>
        </r>
      </text>
    </comment>
  </commentList>
</comments>
</file>

<file path=xl/sharedStrings.xml><?xml version="1.0" encoding="utf-8"?>
<sst xmlns="http://schemas.openxmlformats.org/spreadsheetml/2006/main" count="201" uniqueCount="135">
  <si>
    <t>Vin</t>
  </si>
  <si>
    <t>Vout</t>
  </si>
  <si>
    <t>Iout</t>
  </si>
  <si>
    <t>Lo</t>
  </si>
  <si>
    <t>Co</t>
  </si>
  <si>
    <t>Resr</t>
  </si>
  <si>
    <t>Sc</t>
  </si>
  <si>
    <t>D'</t>
  </si>
  <si>
    <t>Fsw</t>
  </si>
  <si>
    <t>Tsw</t>
  </si>
  <si>
    <t>wn</t>
  </si>
  <si>
    <t>Qp</t>
  </si>
  <si>
    <t>wz1</t>
  </si>
  <si>
    <t>wz2</t>
  </si>
  <si>
    <t>wp1</t>
  </si>
  <si>
    <t>M</t>
  </si>
  <si>
    <t>mc</t>
  </si>
  <si>
    <t>Sn</t>
  </si>
  <si>
    <t>Rout</t>
  </si>
  <si>
    <t>Vout(s)/Verr(s)</t>
  </si>
  <si>
    <t>s</t>
  </si>
  <si>
    <t>g1</t>
  </si>
  <si>
    <t>g2</t>
  </si>
  <si>
    <t>g3</t>
  </si>
  <si>
    <t>g4</t>
  </si>
  <si>
    <t>|Vout(s)/Verr(s)|</t>
  </si>
  <si>
    <t>ang</t>
  </si>
  <si>
    <t>f</t>
  </si>
  <si>
    <t>°</t>
  </si>
  <si>
    <t>db</t>
  </si>
  <si>
    <t>sa</t>
  </si>
  <si>
    <t>Design Parameters</t>
  </si>
  <si>
    <t>Min</t>
  </si>
  <si>
    <t>Nominal</t>
  </si>
  <si>
    <t>Max</t>
  </si>
  <si>
    <t>Dmax</t>
  </si>
  <si>
    <t>Units</t>
  </si>
  <si>
    <t>V</t>
  </si>
  <si>
    <t>A</t>
  </si>
  <si>
    <t>%</t>
  </si>
  <si>
    <t>Vdrv</t>
  </si>
  <si>
    <t>Which Resistor Would you Like to Select?</t>
  </si>
  <si>
    <t>Ideal Vout</t>
  </si>
  <si>
    <t>Ω</t>
  </si>
  <si>
    <t>Device Current Limit</t>
  </si>
  <si>
    <t>mV</t>
  </si>
  <si>
    <t>kHz</t>
  </si>
  <si>
    <t>Maximum Average Inductor Current</t>
  </si>
  <si>
    <t>A/s</t>
  </si>
  <si>
    <t>Desired Peak to Peak Ripple Percentage At Low Vin</t>
  </si>
  <si>
    <t>Peak to Peak Current Ripple at Low Vin</t>
  </si>
  <si>
    <t>Assumed Efficiency</t>
  </si>
  <si>
    <t>Minimum Inductor Value</t>
  </si>
  <si>
    <t>μH</t>
  </si>
  <si>
    <t>Inductor Value Used</t>
  </si>
  <si>
    <t>Peak to Peak Current Ripple at Low Vin, Actual Inductor</t>
  </si>
  <si>
    <t>Irms</t>
  </si>
  <si>
    <t>Ipeak</t>
  </si>
  <si>
    <t>Peak Current</t>
  </si>
  <si>
    <t>Desired Current Limit</t>
  </si>
  <si>
    <t>Recommended Current Sense Resistor</t>
  </si>
  <si>
    <t>Current Sense Resistor Used</t>
  </si>
  <si>
    <r>
      <t>m</t>
    </r>
    <r>
      <rPr>
        <sz val="11"/>
        <color theme="1"/>
        <rFont val="Calibri"/>
        <family val="2"/>
      </rPr>
      <t>Ω</t>
    </r>
  </si>
  <si>
    <t>Power Loss in Rsense at low vin, max rated current</t>
  </si>
  <si>
    <t>D</t>
  </si>
  <si>
    <t>Nom</t>
  </si>
  <si>
    <t>Real Peak Current (min)</t>
  </si>
  <si>
    <t>Real Peak Current (max)</t>
  </si>
  <si>
    <t>W</t>
  </si>
  <si>
    <t>Output Capacitance Used</t>
  </si>
  <si>
    <t>ESR at Switching Frequency</t>
  </si>
  <si>
    <t>Input Capacitance Used</t>
  </si>
  <si>
    <t>Voltage Required</t>
  </si>
  <si>
    <t>Power Dissipation</t>
  </si>
  <si>
    <t>Switching Losses</t>
  </si>
  <si>
    <t>Conduction Losses</t>
  </si>
  <si>
    <t>RDS,ON</t>
  </si>
  <si>
    <t>Forward Voltage Drop</t>
  </si>
  <si>
    <t>Power Loss</t>
  </si>
  <si>
    <t>Required Reverse Voltage</t>
  </si>
  <si>
    <t>Average Current</t>
  </si>
  <si>
    <t>Output Voltage Ripple</t>
  </si>
  <si>
    <t>Current Ripple Rating Required</t>
  </si>
  <si>
    <t>μF</t>
  </si>
  <si>
    <t>Input Voltage Ripple</t>
  </si>
  <si>
    <t>Input Current Ripple</t>
  </si>
  <si>
    <t>Worst Case Input Voltage</t>
  </si>
  <si>
    <t>nC</t>
  </si>
  <si>
    <t>Switch Turn On Time</t>
  </si>
  <si>
    <t>Switch Turn Off Time</t>
  </si>
  <si>
    <t>ns</t>
  </si>
  <si>
    <t>Graph Settings</t>
  </si>
  <si>
    <t>Minimum Frequency</t>
  </si>
  <si>
    <t>Maximum Frequency</t>
  </si>
  <si>
    <t>Hz</t>
  </si>
  <si>
    <t>R</t>
  </si>
  <si>
    <t>C1</t>
  </si>
  <si>
    <t>C2</t>
  </si>
  <si>
    <t>ota1</t>
  </si>
  <si>
    <t>ota2</t>
  </si>
  <si>
    <t>ota3</t>
  </si>
  <si>
    <t>g(s)</t>
  </si>
  <si>
    <t>nF</t>
  </si>
  <si>
    <t>|(g(s)|</t>
  </si>
  <si>
    <t>Desired Crossover Frequency</t>
  </si>
  <si>
    <t>Pole Location</t>
  </si>
  <si>
    <t>Zero Location</t>
  </si>
  <si>
    <t>R value used</t>
  </si>
  <si>
    <t>C1 value used</t>
  </si>
  <si>
    <t>C2 value used</t>
  </si>
  <si>
    <t>Gain At Frequency</t>
  </si>
  <si>
    <t>Suggested RC value</t>
  </si>
  <si>
    <t>Suggested CC1 value</t>
  </si>
  <si>
    <t>Suggested CC2 value</t>
  </si>
  <si>
    <t>It is intended to provide first pass values and does not replace simulation and prototyping.</t>
  </si>
  <si>
    <t>Enter values into the green cells in order by sheet for best results.</t>
  </si>
  <si>
    <t>Rev 1 (May 2014): Corrected current sense power loss equation</t>
  </si>
  <si>
    <t>Rev 2 (12 June 2014):  Corrected compensation analysis.  1) s =  i*f corrected to s = i*2*pie*f.  2) Improved the OTA model (ref How2power.com Alain Laprade paper)</t>
  </si>
  <si>
    <t>OTA Parameters</t>
  </si>
  <si>
    <t>C0</t>
  </si>
  <si>
    <t>F</t>
  </si>
  <si>
    <t>R0</t>
  </si>
  <si>
    <t>Rotaesd</t>
  </si>
  <si>
    <t>gm</t>
  </si>
  <si>
    <t>wz1e</t>
  </si>
  <si>
    <t>wz2e</t>
  </si>
  <si>
    <t>wp1e</t>
  </si>
  <si>
    <t>wp2e</t>
  </si>
  <si>
    <t>comp_C1</t>
  </si>
  <si>
    <t>comp_C2</t>
  </si>
  <si>
    <r>
      <t>mV/</t>
    </r>
    <r>
      <rPr>
        <sz val="11"/>
        <color theme="1"/>
        <rFont val="Calibri"/>
        <family val="2"/>
      </rPr>
      <t>μs</t>
    </r>
  </si>
  <si>
    <t>Qg(tot) at operational MOSFET Vgs (used to verify IC gate drive capability, not for loss analysis).  A warning message appears to the right if total gate charge is too high.</t>
  </si>
  <si>
    <t>This tool is intended to assist the user when designing with the NCV898032 for continuous conduction mode boost applications.</t>
  </si>
  <si>
    <t>NCV898032 Boost Design Tool Revision 0 (7JUN17)</t>
  </si>
  <si>
    <t>Rev 1:    Correction implemented for resistor divider calculation (8DEC17)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</si>
</sst>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2" borderId="1" applyNumberFormat="0" applyAlignment="0">
      <protection hidden="1"/>
    </xf>
    <xf numFmtId="0" fontId="1" fillId="3" borderId="0">
      <protection locked="0"/>
    </xf>
  </cellStyleXfs>
  <cellXfs count="25">
    <xf numFmtId="0" fontId="0" fillId="0" borderId="0" xfId="0"/>
    <xf numFmtId="0" fontId="3" fillId="0" borderId="0" xfId="0" applyFont="1"/>
    <xf numFmtId="0" fontId="1" fillId="3" borderId="0" xfId="2">
      <protection locked="0"/>
    </xf>
    <xf numFmtId="0" fontId="2" fillId="2" borderId="1" xfId="1">
      <protection hidden="1"/>
    </xf>
    <xf numFmtId="0" fontId="3" fillId="0" borderId="0" xfId="0" applyFont="1" applyFill="1" applyBorder="1"/>
    <xf numFmtId="0" fontId="0" fillId="0" borderId="0" xfId="0" applyProtection="1">
      <protection hidden="1"/>
    </xf>
    <xf numFmtId="0" fontId="1" fillId="3" borderId="0" xfId="2" applyProtection="1">
      <protection locked="0" hidden="1"/>
    </xf>
    <xf numFmtId="0" fontId="5" fillId="0" borderId="0" xfId="0" applyFont="1"/>
    <xf numFmtId="0" fontId="0" fillId="0" borderId="0" xfId="0" applyProtection="1">
      <protection locked="0" hidden="1"/>
    </xf>
    <xf numFmtId="0" fontId="2" fillId="2" borderId="1" xfId="1" applyProtection="1">
      <protection locked="0"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" fillId="3" borderId="0" xfId="2" applyAlignment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2" applyFill="1" applyAlignment="1" applyProtection="1">
      <alignment horizontal="center"/>
    </xf>
    <xf numFmtId="0" fontId="1" fillId="0" borderId="0" xfId="2" applyFill="1" applyBorder="1" applyAlignment="1" applyProtection="1">
      <alignment horizontal="center"/>
    </xf>
    <xf numFmtId="0" fontId="8" fillId="0" borderId="0" xfId="0" applyFont="1" applyProtection="1">
      <protection hidden="1"/>
    </xf>
    <xf numFmtId="0" fontId="0" fillId="0" borderId="0" xfId="0" applyAlignment="1">
      <alignment wrapText="1"/>
    </xf>
    <xf numFmtId="0" fontId="9" fillId="0" borderId="0" xfId="0" applyFont="1"/>
    <xf numFmtId="2" fontId="2" fillId="2" borderId="1" xfId="1" applyNumberFormat="1">
      <protection hidden="1"/>
    </xf>
    <xf numFmtId="164" fontId="2" fillId="2" borderId="1" xfId="1" applyNumberFormat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Protection="1">
      <protection hidden="1"/>
    </xf>
    <xf numFmtId="0" fontId="0" fillId="0" borderId="0" xfId="0" applyFill="1"/>
    <xf numFmtId="0" fontId="0" fillId="3" borderId="0" xfId="2" applyFont="1">
      <protection locked="0"/>
    </xf>
  </cellXfs>
  <cellStyles count="3">
    <cellStyle name="Calculation" xfId="1" builtinId="22" customBuiltin="1"/>
    <cellStyle name="Normal" xfId="0" builtinId="0"/>
    <cellStyle name="ONInput" xfId="2"/>
  </cellStyles>
  <dxfs count="2">
    <dxf>
      <font>
        <color theme="5" tint="-0.24994659260841701"/>
      </font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Vout</a:t>
            </a:r>
            <a:r>
              <a:rPr lang="en-US" baseline="0"/>
              <a:t> / Verr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Compensation'!$AI$1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'9.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  <c:pt idx="199">
                  <c:v>933254.30079698924</c:v>
                </c:pt>
              </c:numCache>
            </c:numRef>
          </c:xVal>
          <c:yVal>
            <c:numRef>
              <c:f>'9. Loop Compensation'!$AI$2:$AI$201</c:f>
              <c:numCache>
                <c:formatCode>General</c:formatCode>
                <c:ptCount val="200"/>
                <c:pt idx="0">
                  <c:v>-0.89047221987977132</c:v>
                </c:pt>
                <c:pt idx="1">
                  <c:v>-0.95414670028088022</c:v>
                </c:pt>
                <c:pt idx="2">
                  <c:v>-1.0223724938097354</c:v>
                </c:pt>
                <c:pt idx="3">
                  <c:v>-1.0954744992406216</c:v>
                </c:pt>
                <c:pt idx="4">
                  <c:v>-1.1738007119952472</c:v>
                </c:pt>
                <c:pt idx="5">
                  <c:v>-1.2577238438332359</c:v>
                </c:pt>
                <c:pt idx="6">
                  <c:v>-1.347643050993752</c:v>
                </c:pt>
                <c:pt idx="7">
                  <c:v>-1.4439857768514637</c:v>
                </c:pt>
                <c:pt idx="8">
                  <c:v>-1.5472097151965831</c:v>
                </c:pt>
                <c:pt idx="9">
                  <c:v>-1.6578049002112212</c:v>
                </c:pt>
                <c:pt idx="10">
                  <c:v>-1.7762959290670999</c:v>
                </c:pt>
                <c:pt idx="11">
                  <c:v>-1.9032443227795519</c:v>
                </c:pt>
                <c:pt idx="12">
                  <c:v>-2.0392510304827596</c:v>
                </c:pt>
                <c:pt idx="13">
                  <c:v>-2.1849590815899305</c:v>
                </c:pt>
                <c:pt idx="14">
                  <c:v>-2.3410563893134819</c:v>
                </c:pt>
                <c:pt idx="15">
                  <c:v>-2.5082787076683335</c:v>
                </c:pt>
                <c:pt idx="16">
                  <c:v>-2.6874127422797605</c:v>
                </c:pt>
                <c:pt idx="17">
                  <c:v>-2.8792994129576006</c:v>
                </c:pt>
                <c:pt idx="18">
                  <c:v>-3.0848372629490668</c:v>
                </c:pt>
                <c:pt idx="19">
                  <c:v>-3.3049860058875371</c:v>
                </c:pt>
                <c:pt idx="20">
                  <c:v>-3.5407701965249192</c:v>
                </c:pt>
                <c:pt idx="21">
                  <c:v>-3.793283005143874</c:v>
                </c:pt>
                <c:pt idx="22">
                  <c:v>-4.0636900678285004</c:v>
                </c:pt>
                <c:pt idx="23">
                  <c:v>-4.3532333752100119</c:v>
                </c:pt>
                <c:pt idx="24">
                  <c:v>-4.6632351505345992</c:v>
                </c:pt>
                <c:pt idx="25">
                  <c:v>-4.9951016534951211</c:v>
                </c:pt>
                <c:pt idx="26">
                  <c:v>-5.3503268287500987</c:v>
                </c:pt>
                <c:pt idx="27">
                  <c:v>-5.7304956968802552</c:v>
                </c:pt>
                <c:pt idx="28">
                  <c:v>-6.1372873601170701</c:v>
                </c:pt>
                <c:pt idx="29">
                  <c:v>-6.5724774648992907</c:v>
                </c:pt>
                <c:pt idx="30">
                  <c:v>-7.0379399275426069</c:v>
                </c:pt>
                <c:pt idx="31">
                  <c:v>-7.5356476874631477</c:v>
                </c:pt>
                <c:pt idx="32">
                  <c:v>-8.0676722039967821</c:v>
                </c:pt>
                <c:pt idx="33">
                  <c:v>-8.6361813576606821</c:v>
                </c:pt>
                <c:pt idx="34">
                  <c:v>-9.2434353548044363</c:v>
                </c:pt>
                <c:pt idx="35">
                  <c:v>-9.8917801666920262</c:v>
                </c:pt>
                <c:pt idx="36">
                  <c:v>-10.583637961639448</c:v>
                </c:pt>
                <c:pt idx="37">
                  <c:v>-11.321493914620605</c:v>
                </c:pt>
                <c:pt idx="38">
                  <c:v>-12.107878707030869</c:v>
                </c:pt>
                <c:pt idx="39">
                  <c:v>-12.945345966471731</c:v>
                </c:pt>
                <c:pt idx="40">
                  <c:v>-13.836443851511994</c:v>
                </c:pt>
                <c:pt idx="41">
                  <c:v>-14.783679971572866</c:v>
                </c:pt>
                <c:pt idx="42">
                  <c:v>-15.789478863078637</c:v>
                </c:pt>
                <c:pt idx="43">
                  <c:v>-16.856131339158519</c:v>
                </c:pt>
                <c:pt idx="44">
                  <c:v>-17.985735214001622</c:v>
                </c:pt>
                <c:pt idx="45">
                  <c:v>-19.180127198880182</c:v>
                </c:pt>
                <c:pt idx="46">
                  <c:v>-20.440806198669282</c:v>
                </c:pt>
                <c:pt idx="47">
                  <c:v>-21.768848824528337</c:v>
                </c:pt>
                <c:pt idx="48">
                  <c:v>-23.164818688836696</c:v>
                </c:pt>
                <c:pt idx="49">
                  <c:v>-24.628671952993468</c:v>
                </c:pt>
                <c:pt idx="50">
                  <c:v>-26.159662621167691</c:v>
                </c:pt>
                <c:pt idx="51">
                  <c:v>-27.756252142752157</c:v>
                </c:pt>
                <c:pt idx="52">
                  <c:v>-29.416028892468621</c:v>
                </c:pt>
                <c:pt idx="53">
                  <c:v>-31.135643890392281</c:v>
                </c:pt>
                <c:pt idx="54">
                  <c:v>-32.910769526941991</c:v>
                </c:pt>
                <c:pt idx="55">
                  <c:v>-34.736087887140073</c:v>
                </c:pt>
                <c:pt idx="56">
                  <c:v>-36.605314370736579</c:v>
                </c:pt>
                <c:pt idx="57">
                  <c:v>-38.511260599307505</c:v>
                </c:pt>
                <c:pt idx="58">
                  <c:v>-40.445938121709865</c:v>
                </c:pt>
                <c:pt idx="59">
                  <c:v>-42.400701351138203</c:v>
                </c:pt>
                <c:pt idx="60">
                  <c:v>-44.366424808814081</c:v>
                </c:pt>
                <c:pt idx="61">
                  <c:v>-46.333706536086943</c:v>
                </c:pt>
                <c:pt idx="62">
                  <c:v>-48.293086929422792</c:v>
                </c:pt>
                <c:pt idx="63">
                  <c:v>-50.235270656491579</c:v>
                </c:pt>
                <c:pt idx="64">
                  <c:v>-52.151338986165506</c:v>
                </c:pt>
                <c:pt idx="65">
                  <c:v>-54.032940864652304</c:v>
                </c:pt>
                <c:pt idx="66">
                  <c:v>-55.872453229516282</c:v>
                </c:pt>
                <c:pt idx="67">
                  <c:v>-57.663104028453795</c:v>
                </c:pt>
                <c:pt idx="68">
                  <c:v>-59.399054754652788</c:v>
                </c:pt>
                <c:pt idx="69">
                  <c:v>-61.075442572225441</c:v>
                </c:pt>
                <c:pt idx="70">
                  <c:v>-62.688384906628499</c:v>
                </c:pt>
                <c:pt idx="71">
                  <c:v>-64.234951469002368</c:v>
                </c:pt>
                <c:pt idx="72">
                  <c:v>-65.713109969376603</c:v>
                </c:pt>
                <c:pt idx="73">
                  <c:v>-67.121652281687176</c:v>
                </c:pt>
                <c:pt idx="74">
                  <c:v>-68.460107677212392</c:v>
                </c:pt>
                <c:pt idx="75">
                  <c:v>-69.728649116065668</c:v>
                </c:pt>
                <c:pt idx="76">
                  <c:v>-70.927997662622261</c:v>
                </c:pt>
                <c:pt idx="77">
                  <c:v>-72.059329035423943</c:v>
                </c:pt>
                <c:pt idx="78">
                  <c:v>-73.124185245292409</c:v>
                </c:pt>
                <c:pt idx="79">
                  <c:v>-74.124393306926734</c:v>
                </c:pt>
                <c:pt idx="80">
                  <c:v>-75.061992181183925</c:v>
                </c:pt>
                <c:pt idx="81">
                  <c:v>-75.939168438945757</c:v>
                </c:pt>
                <c:pt idx="82">
                  <c:v>-76.75820063212123</c:v>
                </c:pt>
                <c:pt idx="83">
                  <c:v>-77.521411998087629</c:v>
                </c:pt>
                <c:pt idx="84">
                  <c:v>-78.231130888613279</c:v>
                </c:pt>
                <c:pt idx="85">
                  <c:v>-78.889658178498408</c:v>
                </c:pt>
                <c:pt idx="86">
                  <c:v>-79.499240849158781</c:v>
                </c:pt>
                <c:pt idx="87">
                  <c:v>-80.062050937189667</c:v>
                </c:pt>
                <c:pt idx="88">
                  <c:v>-80.580169070108639</c:v>
                </c:pt>
                <c:pt idx="89">
                  <c:v>-81.055571867152381</c:v>
                </c:pt>
                <c:pt idx="90">
                  <c:v>-81.490122551726913</c:v>
                </c:pt>
                <c:pt idx="91">
                  <c:v>-81.885564196303434</c:v>
                </c:pt>
                <c:pt idx="92">
                  <c:v>-82.243515095005336</c:v>
                </c:pt>
                <c:pt idx="93">
                  <c:v>-82.565465830476782</c:v>
                </c:pt>
                <c:pt idx="94">
                  <c:v>-82.852777667877987</c:v>
                </c:pt>
                <c:pt idx="95">
                  <c:v>-83.106681969050186</c:v>
                </c:pt>
                <c:pt idx="96">
                  <c:v>-83.328280373764414</c:v>
                </c:pt>
                <c:pt idx="97">
                  <c:v>-83.518545542726301</c:v>
                </c:pt>
                <c:pt idx="98">
                  <c:v>-83.678322299170887</c:v>
                </c:pt>
                <c:pt idx="99">
                  <c:v>-83.808329043146486</c:v>
                </c:pt>
                <c:pt idx="100">
                  <c:v>-83.909159345767691</c:v>
                </c:pt>
                <c:pt idx="101">
                  <c:v>-83.981283660669078</c:v>
                </c:pt>
                <c:pt idx="102">
                  <c:v>-84.025051117492367</c:v>
                </c:pt>
                <c:pt idx="103">
                  <c:v>-84.040691388377866</c:v>
                </c:pt>
                <c:pt idx="104">
                  <c:v>-84.028316643980659</c:v>
                </c:pt>
                <c:pt idx="105">
                  <c:v>-83.9879236413786</c:v>
                </c:pt>
                <c:pt idx="106">
                  <c:v>-83.919396013249397</c:v>
                </c:pt>
                <c:pt idx="107">
                  <c:v>-83.822506856754359</c:v>
                </c:pt>
                <c:pt idx="108">
                  <c:v>-83.696921752534891</c:v>
                </c:pt>
                <c:pt idx="109">
                  <c:v>-83.542202379958809</c:v>
                </c:pt>
                <c:pt idx="110">
                  <c:v>-83.357810935054374</c:v>
                </c:pt>
                <c:pt idx="111">
                  <c:v>-83.143115603139435</c:v>
                </c:pt>
                <c:pt idx="112">
                  <c:v>-82.897397389552438</c:v>
                </c:pt>
                <c:pt idx="113">
                  <c:v>-82.619858669371609</c:v>
                </c:pt>
                <c:pt idx="114">
                  <c:v>-82.309633880428876</c:v>
                </c:pt>
                <c:pt idx="115">
                  <c:v>-81.965802852463739</c:v>
                </c:pt>
                <c:pt idx="116">
                  <c:v>-81.587407337202222</c:v>
                </c:pt>
                <c:pt idx="117">
                  <c:v>-81.17347137647026</c:v>
                </c:pt>
                <c:pt idx="118">
                  <c:v>-80.723026213419828</c:v>
                </c:pt>
                <c:pt idx="119">
                  <c:v>-80.235140508604061</c:v>
                </c:pt>
                <c:pt idx="120">
                  <c:v>-79.70895665823781</c:v>
                </c:pt>
                <c:pt idx="121">
                  <c:v>-79.143734013526796</c:v>
                </c:pt>
                <c:pt idx="122">
                  <c:v>-78.538899750796872</c:v>
                </c:pt>
                <c:pt idx="123">
                  <c:v>-77.894108022016525</c:v>
                </c:pt>
                <c:pt idx="124">
                  <c:v>-77.209307800809668</c:v>
                </c:pt>
                <c:pt idx="125">
                  <c:v>-76.484819505230789</c:v>
                </c:pt>
                <c:pt idx="126">
                  <c:v>-75.721420001609815</c:v>
                </c:pt>
                <c:pt idx="127">
                  <c:v>-74.920434955425947</c:v>
                </c:pt>
                <c:pt idx="128">
                  <c:v>-74.083836688940167</c:v>
                </c:pt>
                <c:pt idx="129">
                  <c:v>-73.214344744254859</c:v>
                </c:pt>
                <c:pt idx="130">
                  <c:v>-72.315525275803537</c:v>
                </c:pt>
                <c:pt idx="131">
                  <c:v>-71.391884285166356</c:v>
                </c:pt>
                <c:pt idx="132">
                  <c:v>-70.448948681064337</c:v>
                </c:pt>
                <c:pt idx="133">
                  <c:v>-69.493328353809957</c:v>
                </c:pt>
                <c:pt idx="134">
                  <c:v>-68.53275207713439</c:v>
                </c:pt>
                <c:pt idx="135">
                  <c:v>-67.576070272373471</c:v>
                </c:pt>
                <c:pt idx="136">
                  <c:v>-66.633218635459087</c:v>
                </c:pt>
                <c:pt idx="137">
                  <c:v>-65.715138401628721</c:v>
                </c:pt>
                <c:pt idx="138">
                  <c:v>-64.833651552474933</c:v>
                </c:pt>
                <c:pt idx="139">
                  <c:v>-64.001292358612133</c:v>
                </c:pt>
                <c:pt idx="140">
                  <c:v>-63.231099966324088</c:v>
                </c:pt>
                <c:pt idx="141">
                  <c:v>-62.536379852603595</c:v>
                </c:pt>
                <c:pt idx="142">
                  <c:v>-61.930444447780417</c:v>
                </c:pt>
                <c:pt idx="143">
                  <c:v>-61.426344693007884</c:v>
                </c:pt>
                <c:pt idx="144">
                  <c:v>-61.036604557963059</c:v>
                </c:pt>
                <c:pt idx="145">
                  <c:v>-60.772969602618083</c:v>
                </c:pt>
                <c:pt idx="146">
                  <c:v>-60.646178750615441</c:v>
                </c:pt>
                <c:pt idx="147">
                  <c:v>-60.665765937823394</c:v>
                </c:pt>
                <c:pt idx="148">
                  <c:v>-60.839895668509655</c:v>
                </c:pt>
                <c:pt idx="149">
                  <c:v>-61.175234185380589</c:v>
                </c:pt>
                <c:pt idx="150">
                  <c:v>-61.676856254658311</c:v>
                </c:pt>
                <c:pt idx="151">
                  <c:v>-62.348186628688026</c:v>
                </c:pt>
                <c:pt idx="152">
                  <c:v>-63.190975036181783</c:v>
                </c:pt>
                <c:pt idx="153">
                  <c:v>-64.205303861439447</c:v>
                </c:pt>
                <c:pt idx="154">
                  <c:v>-65.389628194876693</c:v>
                </c:pt>
                <c:pt idx="155">
                  <c:v>-66.740848311260677</c:v>
                </c:pt>
                <c:pt idx="156">
                  <c:v>-68.254414534456629</c:v>
                </c:pt>
                <c:pt idx="157">
                  <c:v>-69.924463655913229</c:v>
                </c:pt>
                <c:pt idx="158">
                  <c:v>-71.743984524374667</c:v>
                </c:pt>
                <c:pt idx="159">
                  <c:v>-73.705008239749446</c:v>
                </c:pt>
                <c:pt idx="160">
                  <c:v>-75.798815868635629</c:v>
                </c:pt>
                <c:pt idx="161">
                  <c:v>-78.016154189745563</c:v>
                </c:pt>
                <c:pt idx="162">
                  <c:v>-80.347448161085453</c:v>
                </c:pt>
                <c:pt idx="163">
                  <c:v>-82.782998011212953</c:v>
                </c:pt>
                <c:pt idx="164">
                  <c:v>-85.31314937862787</c:v>
                </c:pt>
                <c:pt idx="165">
                  <c:v>-87.928426826218015</c:v>
                </c:pt>
                <c:pt idx="166">
                  <c:v>-90.619624180573425</c:v>
                </c:pt>
                <c:pt idx="167">
                  <c:v>-93.377849131787698</c:v>
                </c:pt>
                <c:pt idx="168">
                  <c:v>-96.194523897070681</c:v>
                </c:pt>
                <c:pt idx="169">
                  <c:v>-99.061347982892869</c:v>
                </c:pt>
                <c:pt idx="170">
                  <c:v>-101.97023269755351</c:v>
                </c:pt>
                <c:pt idx="171">
                  <c:v>-104.91321968531304</c:v>
                </c:pt>
                <c:pt idx="172">
                  <c:v>-107.88239711249221</c:v>
                </c:pt>
                <c:pt idx="173">
                  <c:v>-110.86982710317044</c:v>
                </c:pt>
                <c:pt idx="174">
                  <c:v>-113.86749659568824</c:v>
                </c:pt>
                <c:pt idx="175">
                  <c:v>-116.86730110014996</c:v>
                </c:pt>
                <c:pt idx="176">
                  <c:v>-119.86106714188361</c:v>
                </c:pt>
                <c:pt idx="177">
                  <c:v>-122.84061486087516</c:v>
                </c:pt>
                <c:pt idx="178">
                  <c:v>-125.79785778592701</c:v>
                </c:pt>
                <c:pt idx="179">
                  <c:v>-128.7249327448761</c:v>
                </c:pt>
                <c:pt idx="180">
                  <c:v>-131.6143497096472</c:v>
                </c:pt>
                <c:pt idx="181">
                  <c:v>-134.45914949218286</c:v>
                </c:pt>
                <c:pt idx="182">
                  <c:v>-137.25305679939612</c:v>
                </c:pt>
                <c:pt idx="183">
                  <c:v>-139.99061718820599</c:v>
                </c:pt>
                <c:pt idx="184">
                  <c:v>-142.66730868332633</c:v>
                </c:pt>
                <c:pt idx="185">
                  <c:v>-145.27962181866616</c:v>
                </c:pt>
                <c:pt idx="186">
                  <c:v>-147.82510515550507</c:v>
                </c:pt>
                <c:pt idx="187">
                  <c:v>-150.30237645887124</c:v>
                </c:pt>
                <c:pt idx="188">
                  <c:v>-152.71110232049972</c:v>
                </c:pt>
                <c:pt idx="189">
                  <c:v>-155.05195088773817</c:v>
                </c:pt>
                <c:pt idx="190">
                  <c:v>-157.32652342613409</c:v>
                </c:pt>
                <c:pt idx="191">
                  <c:v>-159.53727076558539</c:v>
                </c:pt>
                <c:pt idx="192">
                  <c:v>-161.6874003945949</c:v>
                </c:pt>
                <c:pt idx="193">
                  <c:v>-163.78077925119518</c:v>
                </c:pt>
                <c:pt idx="194">
                  <c:v>-165.8218362905221</c:v>
                </c:pt>
                <c:pt idx="195">
                  <c:v>-167.81546784170979</c:v>
                </c:pt>
                <c:pt idx="196">
                  <c:v>-169.76694771795013</c:v>
                </c:pt>
                <c:pt idx="197">
                  <c:v>-171.68184309123552</c:v>
                </c:pt>
                <c:pt idx="198">
                  <c:v>-173.56593633089918</c:v>
                </c:pt>
                <c:pt idx="199">
                  <c:v>-175.42515234933762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77632"/>
        <c:axId val="253488712"/>
      </c:scatterChart>
      <c:valAx>
        <c:axId val="19627763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3488712"/>
        <c:crosses val="autoZero"/>
        <c:crossBetween val="midCat"/>
      </c:valAx>
      <c:valAx>
        <c:axId val="253488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277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|Vout</a:t>
            </a:r>
            <a:r>
              <a:rPr lang="en-US" baseline="0"/>
              <a:t> / Verr|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Compensation'!$AJ$1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'9.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</c:numCache>
            </c:numRef>
          </c:xVal>
          <c:yVal>
            <c:numRef>
              <c:f>'9. Loop Compensation'!$AJ$2:$AJ$200</c:f>
              <c:numCache>
                <c:formatCode>General</c:formatCode>
                <c:ptCount val="199"/>
                <c:pt idx="0">
                  <c:v>30.578981852334767</c:v>
                </c:pt>
                <c:pt idx="1">
                  <c:v>30.578825608429167</c:v>
                </c:pt>
                <c:pt idx="2">
                  <c:v>30.578646223355058</c:v>
                </c:pt>
                <c:pt idx="3">
                  <c:v>30.578440270869894</c:v>
                </c:pt>
                <c:pt idx="4">
                  <c:v>30.578203817822395</c:v>
                </c:pt>
                <c:pt idx="5">
                  <c:v>30.57793234927518</c:v>
                </c:pt>
                <c:pt idx="6">
                  <c:v>30.577620682605023</c:v>
                </c:pt>
                <c:pt idx="7">
                  <c:v>30.577262868970148</c:v>
                </c:pt>
                <c:pt idx="8">
                  <c:v>30.576852080302462</c:v>
                </c:pt>
                <c:pt idx="9">
                  <c:v>30.576380479719468</c:v>
                </c:pt>
                <c:pt idx="10">
                  <c:v>30.575839072950668</c:v>
                </c:pt>
                <c:pt idx="11">
                  <c:v>30.575217538033385</c:v>
                </c:pt>
                <c:pt idx="12">
                  <c:v>30.574504030147516</c:v>
                </c:pt>
                <c:pt idx="13">
                  <c:v>30.57368495802347</c:v>
                </c:pt>
                <c:pt idx="14">
                  <c:v>30.572744727865189</c:v>
                </c:pt>
                <c:pt idx="15">
                  <c:v>30.571665450179218</c:v>
                </c:pt>
                <c:pt idx="16">
                  <c:v>30.570426604279977</c:v>
                </c:pt>
                <c:pt idx="17">
                  <c:v>30.569004654551119</c:v>
                </c:pt>
                <c:pt idx="18">
                  <c:v>30.567372611775884</c:v>
                </c:pt>
                <c:pt idx="19">
                  <c:v>30.565499532001816</c:v>
                </c:pt>
                <c:pt idx="20">
                  <c:v>30.563349944477373</c:v>
                </c:pt>
                <c:pt idx="21">
                  <c:v>30.560883199191501</c:v>
                </c:pt>
                <c:pt idx="22">
                  <c:v>30.558052723464755</c:v>
                </c:pt>
                <c:pt idx="23">
                  <c:v>30.554805175898885</c:v>
                </c:pt>
                <c:pt idx="24">
                  <c:v>30.551079484805438</c:v>
                </c:pt>
                <c:pt idx="25">
                  <c:v>30.546805757037433</c:v>
                </c:pt>
                <c:pt idx="26">
                  <c:v>30.54190404198614</c:v>
                </c:pt>
                <c:pt idx="27">
                  <c:v>30.53628293444158</c:v>
                </c:pt>
                <c:pt idx="28">
                  <c:v>30.529837999142856</c:v>
                </c:pt>
                <c:pt idx="29">
                  <c:v>30.522449999284014</c:v>
                </c:pt>
                <c:pt idx="30">
                  <c:v>30.513982911156337</c:v>
                </c:pt>
                <c:pt idx="31">
                  <c:v>30.50428170771271</c:v>
                </c:pt>
                <c:pt idx="32">
                  <c:v>30.493169895407881</c:v>
                </c:pt>
                <c:pt idx="33">
                  <c:v>30.480446791545571</c:v>
                </c:pt>
                <c:pt idx="34">
                  <c:v>30.465884533978986</c:v>
                </c:pt>
                <c:pt idx="35">
                  <c:v>30.449224821884084</c:v>
                </c:pt>
                <c:pt idx="36">
                  <c:v>30.430175396065376</c:v>
                </c:pt>
                <c:pt idx="37">
                  <c:v>30.408406280562374</c:v>
                </c:pt>
                <c:pt idx="38">
                  <c:v>30.38354582495996</c:v>
                </c:pt>
                <c:pt idx="39">
                  <c:v>30.355176609549197</c:v>
                </c:pt>
                <c:pt idx="40">
                  <c:v>30.322831304049075</c:v>
                </c:pt>
                <c:pt idx="41">
                  <c:v>30.285988605516994</c:v>
                </c:pt>
                <c:pt idx="42">
                  <c:v>30.244069422500665</c:v>
                </c:pt>
                <c:pt idx="43">
                  <c:v>30.196433519959708</c:v>
                </c:pt>
                <c:pt idx="44">
                  <c:v>30.142376891619858</c:v>
                </c:pt>
                <c:pt idx="45">
                  <c:v>30.081130180518393</c:v>
                </c:pt>
                <c:pt idx="46">
                  <c:v>30.011858520181054</c:v>
                </c:pt>
                <c:pt idx="47">
                  <c:v>29.933663211736217</c:v>
                </c:pt>
                <c:pt idx="48">
                  <c:v>29.845585677766447</c:v>
                </c:pt>
                <c:pt idx="49">
                  <c:v>29.746614131270491</c:v>
                </c:pt>
                <c:pt idx="50">
                  <c:v>29.635693355952462</c:v>
                </c:pt>
                <c:pt idx="51">
                  <c:v>29.51173790051206</c:v>
                </c:pt>
                <c:pt idx="52">
                  <c:v>29.373648835431005</c:v>
                </c:pt>
                <c:pt idx="53">
                  <c:v>29.220334002045139</c:v>
                </c:pt>
                <c:pt idx="54">
                  <c:v>29.050731405261764</c:v>
                </c:pt>
                <c:pt idx="55">
                  <c:v>28.863835079544739</c:v>
                </c:pt>
                <c:pt idx="56">
                  <c:v>28.658722422279354</c:v>
                </c:pt>
                <c:pt idx="57">
                  <c:v>28.434581680887284</c:v>
                </c:pt>
                <c:pt idx="58">
                  <c:v>28.190738049098133</c:v>
                </c:pt>
                <c:pt idx="59">
                  <c:v>27.926676722005229</c:v>
                </c:pt>
                <c:pt idx="60">
                  <c:v>27.642061316345441</c:v>
                </c:pt>
                <c:pt idx="61">
                  <c:v>27.336746297874711</c:v>
                </c:pt>
                <c:pt idx="62">
                  <c:v>27.010782459199682</c:v>
                </c:pt>
                <c:pt idx="63">
                  <c:v>26.664415016572711</c:v>
                </c:pt>
                <c:pt idx="64">
                  <c:v>26.298074476750749</c:v>
                </c:pt>
                <c:pt idx="65">
                  <c:v>25.91236098739882</c:v>
                </c:pt>
                <c:pt idx="66">
                  <c:v>25.508023353072254</c:v>
                </c:pt>
                <c:pt idx="67">
                  <c:v>25.085934218385017</c:v>
                </c:pt>
                <c:pt idx="68">
                  <c:v>24.647063063214809</c:v>
                </c:pt>
                <c:pt idx="69">
                  <c:v>24.19244862444134</c:v>
                </c:pt>
                <c:pt idx="70">
                  <c:v>23.723172182951906</c:v>
                </c:pt>
                <c:pt idx="71">
                  <c:v>23.240332877916394</c:v>
                </c:pt>
                <c:pt idx="72">
                  <c:v>22.745025882536865</c:v>
                </c:pt>
                <c:pt idx="73">
                  <c:v>22.238323942584945</c:v>
                </c:pt>
                <c:pt idx="74">
                  <c:v>21.721262476757211</c:v>
                </c:pt>
                <c:pt idx="75">
                  <c:v>21.194828188942783</c:v>
                </c:pt>
                <c:pt idx="76">
                  <c:v>20.659950957047496</c:v>
                </c:pt>
                <c:pt idx="77">
                  <c:v>20.117498640978887</c:v>
                </c:pt>
                <c:pt idx="78">
                  <c:v>19.568274386709025</c:v>
                </c:pt>
                <c:pt idx="79">
                  <c:v>19.013015983192279</c:v>
                </c:pt>
                <c:pt idx="80">
                  <c:v>18.452396842348083</c:v>
                </c:pt>
                <c:pt idx="81">
                  <c:v>17.887028208047763</c:v>
                </c:pt>
                <c:pt idx="82">
                  <c:v>17.317462248486152</c:v>
                </c:pt>
                <c:pt idx="83">
                  <c:v>16.744195740038123</c:v>
                </c:pt>
                <c:pt idx="84">
                  <c:v>16.1676741043653</c:v>
                </c:pt>
                <c:pt idx="85">
                  <c:v>15.588295610690608</c:v>
                </c:pt>
                <c:pt idx="86">
                  <c:v>15.006415599824376</c:v>
                </c:pt>
                <c:pt idx="87">
                  <c:v>14.422350624833467</c:v>
                </c:pt>
                <c:pt idx="88">
                  <c:v>13.836382435098626</c:v>
                </c:pt>
                <c:pt idx="89">
                  <c:v>13.248761756281542</c:v>
                </c:pt>
                <c:pt idx="90">
                  <c:v>12.659711839067757</c:v>
                </c:pt>
                <c:pt idx="91">
                  <c:v>12.069431765233601</c:v>
                </c:pt>
                <c:pt idx="92">
                  <c:v>11.478099511385837</c:v>
                </c:pt>
                <c:pt idx="93">
                  <c:v>10.885874779380682</c:v>
                </c:pt>
                <c:pt idx="94">
                  <c:v>10.292901608603362</c:v>
                </c:pt>
                <c:pt idx="95">
                  <c:v>9.6993107895552537</c:v>
                </c:pt>
                <c:pt idx="96">
                  <c:v>9.1052221010248768</c:v>
                </c:pt>
                <c:pt idx="97">
                  <c:v>8.5107463949072066</c:v>
                </c:pt>
                <c:pt idx="98">
                  <c:v>7.9159875537940803</c:v>
                </c:pt>
                <c:pt idx="99">
                  <c:v>7.321044347031826</c:v>
                </c:pt>
                <c:pt idx="100">
                  <c:v>6.72601221121894</c:v>
                </c:pt>
                <c:pt idx="101">
                  <c:v>6.130984981239342</c:v>
                </c:pt>
                <c:pt idx="102">
                  <c:v>5.5360565979943068</c:v>
                </c:pt>
                <c:pt idx="103">
                  <c:v>4.9413228190696881</c:v>
                </c:pt>
                <c:pt idx="104">
                  <c:v>4.3468829586993003</c:v>
                </c:pt>
                <c:pt idx="105">
                  <c:v>3.7528416835538607</c:v>
                </c:pt>
                <c:pt idx="106">
                  <c:v>3.1593108910889951</c:v>
                </c:pt>
                <c:pt idx="107">
                  <c:v>2.5664116973630318</c:v>
                </c:pt>
                <c:pt idx="108">
                  <c:v>1.9742765613099664</c:v>
                </c:pt>
                <c:pt idx="109">
                  <c:v>1.3830515722955337</c:v>
                </c:pt>
                <c:pt idx="110">
                  <c:v>0.7928989272324759</c:v>
                </c:pt>
                <c:pt idx="111">
                  <c:v>0.20399962235800692</c:v>
                </c:pt>
                <c:pt idx="112">
                  <c:v>-0.38344361730033683</c:v>
                </c:pt>
                <c:pt idx="113">
                  <c:v>-0.9692031510912904</c:v>
                </c:pt>
                <c:pt idx="114">
                  <c:v>-1.5530229639106765</c:v>
                </c:pt>
                <c:pt idx="115">
                  <c:v>-2.1346149280582036</c:v>
                </c:pt>
                <c:pt idx="116">
                  <c:v>-2.7136547886398925</c:v>
                </c:pt>
                <c:pt idx="117">
                  <c:v>-3.2897778891491769</c:v>
                </c:pt>
                <c:pt idx="118">
                  <c:v>-3.8625746719968337</c:v>
                </c:pt>
                <c:pt idx="119">
                  <c:v>-4.4315860120283448</c:v>
                </c:pt>
                <c:pt idx="120">
                  <c:v>-4.9962984701804523</c:v>
                </c:pt>
                <c:pt idx="121">
                  <c:v>-5.5561395898570032</c:v>
                </c:pt>
                <c:pt idx="122">
                  <c:v>-6.110473400431311</c:v>
                </c:pt>
                <c:pt idx="123">
                  <c:v>-6.6585963399249426</c:v>
                </c:pt>
                <c:pt idx="124">
                  <c:v>-7.1997338607914774</c:v>
                </c:pt>
                <c:pt idx="125">
                  <c:v>-7.7330380359152926</c:v>
                </c:pt>
                <c:pt idx="126">
                  <c:v>-8.2575865317471848</c:v>
                </c:pt>
                <c:pt idx="127">
                  <c:v>-8.7723833552264772</c:v>
                </c:pt>
                <c:pt idx="128">
                  <c:v>-9.2763618019333194</c:v>
                </c:pt>
                <c:pt idx="129">
                  <c:v>-9.7683900240617927</c:v>
                </c:pt>
                <c:pt idx="130">
                  <c:v>-10.247279586562094</c:v>
                </c:pt>
                <c:pt idx="131">
                  <c:v>-10.711797276994551</c:v>
                </c:pt>
                <c:pt idx="132">
                  <c:v>-11.160680271036087</c:v>
                </c:pt>
                <c:pt idx="133">
                  <c:v>-11.592654528994281</c:v>
                </c:pt>
                <c:pt idx="134">
                  <c:v>-12.006456016286482</c:v>
                </c:pt>
                <c:pt idx="135">
                  <c:v>-12.400854021919836</c:v>
                </c:pt>
                <c:pt idx="136">
                  <c:v>-12.774675526089606</c:v>
                </c:pt>
                <c:pt idx="137">
                  <c:v>-13.126829285159339</c:v>
                </c:pt>
                <c:pt idx="138">
                  <c:v>-13.456328109851029</c:v>
                </c:pt>
                <c:pt idx="139">
                  <c:v>-13.762307758450731</c:v>
                </c:pt>
                <c:pt idx="140">
                  <c:v>-14.04404098615289</c:v>
                </c:pt>
                <c:pt idx="141">
                  <c:v>-14.300945596018694</c:v>
                </c:pt>
                <c:pt idx="142">
                  <c:v>-14.532585808378439</c:v>
                </c:pt>
                <c:pt idx="143">
                  <c:v>-14.738666855879989</c:v>
                </c:pt>
                <c:pt idx="144">
                  <c:v>-14.919023349840401</c:v>
                </c:pt>
                <c:pt idx="145">
                  <c:v>-15.073602569052596</c:v>
                </c:pt>
                <c:pt idx="146">
                  <c:v>-15.202444318817367</c:v>
                </c:pt>
                <c:pt idx="147">
                  <c:v>-15.305659338351649</c:v>
                </c:pt>
                <c:pt idx="148">
                  <c:v>-15.383408368064615</c:v>
                </c:pt>
                <c:pt idx="149">
                  <c:v>-15.435883921412735</c:v>
                </c:pt>
                <c:pt idx="150">
                  <c:v>-15.463296558896131</c:v>
                </c:pt>
                <c:pt idx="151">
                  <c:v>-15.465867068585922</c:v>
                </c:pt>
                <c:pt idx="152">
                  <c:v>-15.443825458933294</c:v>
                </c:pt>
                <c:pt idx="153">
                  <c:v>-15.397417106349891</c:v>
                </c:pt>
                <c:pt idx="154">
                  <c:v>-15.326915810954063</c:v>
                </c:pt>
                <c:pt idx="155">
                  <c:v>-15.232642936439369</c:v>
                </c:pt>
                <c:pt idx="156">
                  <c:v>-15.114991282536339</c:v>
                </c:pt>
                <c:pt idx="157">
                  <c:v>-14.974451901326402</c:v>
                </c:pt>
                <c:pt idx="158">
                  <c:v>-14.811641762497738</c:v>
                </c:pt>
                <c:pt idx="159">
                  <c:v>-14.627330033577781</c:v>
                </c:pt>
                <c:pt idx="160">
                  <c:v>-14.422460792771425</c:v>
                </c:pt>
                <c:pt idx="161">
                  <c:v>-14.198170237012999</c:v>
                </c:pt>
                <c:pt idx="162">
                  <c:v>-13.955796862756642</c:v>
                </c:pt>
                <c:pt idx="163">
                  <c:v>-13.696883632476972</c:v>
                </c:pt>
                <c:pt idx="164">
                  <c:v>-13.423171727650496</c:v>
                </c:pt>
                <c:pt idx="165">
                  <c:v>-13.136586055046545</c:v>
                </c:pt>
                <c:pt idx="166">
                  <c:v>-12.839213152797566</c:v>
                </c:pt>
                <c:pt idx="167">
                  <c:v>-12.533272493948378</c:v>
                </c:pt>
                <c:pt idx="168">
                  <c:v>-12.221082396054728</c:v>
                </c:pt>
                <c:pt idx="169">
                  <c:v>-11.90502183348276</c:v>
                </c:pt>
                <c:pt idx="170">
                  <c:v>-11.587489453479202</c:v>
                </c:pt>
                <c:pt idx="171">
                  <c:v>-11.270861065672372</c:v>
                </c:pt>
                <c:pt idx="172">
                  <c:v>-10.957446849843361</c:v>
                </c:pt>
                <c:pt idx="173">
                  <c:v>-10.649449533799748</c:v>
                </c:pt>
                <c:pt idx="174">
                  <c:v>-10.348924833291635</c:v>
                </c:pt>
                <c:pt idx="175">
                  <c:v>-10.057745496310829</c:v>
                </c:pt>
                <c:pt idx="176">
                  <c:v>-9.7775703142722303</c:v>
                </c:pt>
                <c:pt idx="177">
                  <c:v>-9.5098194057452226</c:v>
                </c:pt>
                <c:pt idx="178">
                  <c:v>-9.2556569056415299</c:v>
                </c:pt>
                <c:pt idx="179">
                  <c:v>-9.015981885825461</c:v>
                </c:pt>
                <c:pt idx="180">
                  <c:v>-8.7914279025238233</c:v>
                </c:pt>
                <c:pt idx="181">
                  <c:v>-8.5823710517018963</c:v>
                </c:pt>
                <c:pt idx="182">
                  <c:v>-8.3889458779430299</c:v>
                </c:pt>
                <c:pt idx="183">
                  <c:v>-8.2110679962850135</c:v>
                </c:pt>
                <c:pt idx="184">
                  <c:v>-8.0484619139691933</c:v>
                </c:pt>
                <c:pt idx="185">
                  <c:v>-7.9006923238433844</c:v>
                </c:pt>
                <c:pt idx="186">
                  <c:v>-7.7671970990187926</c:v>
                </c:pt>
                <c:pt idx="187">
                  <c:v>-7.6473203368559615</c:v>
                </c:pt>
                <c:pt idx="188">
                  <c:v>-7.5403440448485446</c:v>
                </c:pt>
                <c:pt idx="189">
                  <c:v>-7.4455173844779754</c:v>
                </c:pt>
                <c:pt idx="190">
                  <c:v>-7.3620827426607125</c:v>
                </c:pt>
                <c:pt idx="191">
                  <c:v>-7.2892982414333876</c:v>
                </c:pt>
                <c:pt idx="192">
                  <c:v>-7.2264565939408634</c:v>
                </c:pt>
                <c:pt idx="193">
                  <c:v>-7.1729004505566385</c:v>
                </c:pt>
                <c:pt idx="194">
                  <c:v>-7.1280345468876662</c:v>
                </c:pt>
                <c:pt idx="195">
                  <c:v>-7.0913350683551801</c:v>
                </c:pt>
                <c:pt idx="196">
                  <c:v>-7.062356692605448</c:v>
                </c:pt>
                <c:pt idx="197">
                  <c:v>-7.0407377724543458</c:v>
                </c:pt>
                <c:pt idx="198">
                  <c:v>-7.0262040899765257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76440"/>
        <c:axId val="194705408"/>
      </c:scatterChart>
      <c:valAx>
        <c:axId val="196476440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705408"/>
        <c:crosses val="autoZero"/>
        <c:crossBetween val="midCat"/>
      </c:valAx>
      <c:valAx>
        <c:axId val="19470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4764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Verr</a:t>
            </a:r>
            <a:r>
              <a:rPr lang="en-US" baseline="0"/>
              <a:t> / Vout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Compensation'!$AQ$1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'9.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  <c:pt idx="199">
                  <c:v>933254.30079698924</c:v>
                </c:pt>
              </c:numCache>
            </c:numRef>
          </c:xVal>
          <c:yVal>
            <c:numRef>
              <c:f>'9. Loop Compensation'!$AQ$2:$AQ$201</c:f>
              <c:numCache>
                <c:formatCode>General</c:formatCode>
                <c:ptCount val="200"/>
                <c:pt idx="0">
                  <c:v>174.93855712210453</c:v>
                </c:pt>
                <c:pt idx="1">
                  <c:v>174.57886395378478</c:v>
                </c:pt>
                <c:pt idx="2">
                  <c:v>174.19397039584126</c:v>
                </c:pt>
                <c:pt idx="3">
                  <c:v>173.78219310967651</c:v>
                </c:pt>
                <c:pt idx="4">
                  <c:v>173.34175502001091</c:v>
                </c:pt>
                <c:pt idx="5">
                  <c:v>172.87078444975438</c:v>
                </c:pt>
                <c:pt idx="6">
                  <c:v>172.36731541859714</c:v>
                </c:pt>
                <c:pt idx="7">
                  <c:v>171.82928942433418</c:v>
                </c:pt>
                <c:pt idx="8">
                  <c:v>171.2545590854607</c:v>
                </c:pt>
                <c:pt idx="9">
                  <c:v>170.6408940894529</c:v>
                </c:pt>
                <c:pt idx="10">
                  <c:v>169.98598996222202</c:v>
                </c:pt>
                <c:pt idx="11">
                  <c:v>169.28748024830256</c:v>
                </c:pt>
                <c:pt idx="12">
                  <c:v>168.54295276474099</c:v>
                </c:pt>
                <c:pt idx="13">
                  <c:v>167.74997065887695</c:v>
                </c:pt>
                <c:pt idx="14">
                  <c:v>166.9060990532499</c:v>
                </c:pt>
                <c:pt idx="15">
                  <c:v>166.00893808880443</c:v>
                </c:pt>
                <c:pt idx="16">
                  <c:v>165.05616316605025</c:v>
                </c:pt>
                <c:pt idx="17">
                  <c:v>164.04557311487244</c:v>
                </c:pt>
                <c:pt idx="18">
                  <c:v>162.97514687585533</c:v>
                </c:pt>
                <c:pt idx="19">
                  <c:v>161.84310902534622</c:v>
                </c:pt>
                <c:pt idx="20">
                  <c:v>160.64800409862599</c:v>
                </c:pt>
                <c:pt idx="21">
                  <c:v>159.38877913899259</c:v>
                </c:pt>
                <c:pt idx="22">
                  <c:v>158.06487321195129</c:v>
                </c:pt>
                <c:pt idx="23">
                  <c:v>156.67631177479046</c:v>
                </c:pt>
                <c:pt idx="24">
                  <c:v>155.22380280765495</c:v>
                </c:pt>
                <c:pt idx="25">
                  <c:v>153.70883054976423</c:v>
                </c:pt>
                <c:pt idx="26">
                  <c:v>152.13374163895926</c:v>
                </c:pt>
                <c:pt idx="27">
                  <c:v>150.50181755980631</c:v>
                </c:pt>
                <c:pt idx="28">
                  <c:v>148.81732673403195</c:v>
                </c:pt>
                <c:pt idx="29">
                  <c:v>147.08554952158354</c:v>
                </c:pt>
                <c:pt idx="30">
                  <c:v>145.31277001039675</c:v>
                </c:pt>
                <c:pt idx="31">
                  <c:v>143.50622987139323</c:v>
                </c:pt>
                <c:pt idx="32">
                  <c:v>141.67404175613166</c:v>
                </c:pt>
                <c:pt idx="33">
                  <c:v>139.82506259739128</c:v>
                </c:pt>
                <c:pt idx="34">
                  <c:v>137.96873047089667</c:v>
                </c:pt>
                <c:pt idx="35">
                  <c:v>136.11487199789542</c:v>
                </c:pt>
                <c:pt idx="36">
                  <c:v>134.27349015580555</c:v>
                </c:pt>
                <c:pt idx="37">
                  <c:v>132.45454438024589</c:v>
                </c:pt>
                <c:pt idx="38">
                  <c:v>130.66773566273619</c:v>
                </c:pt>
                <c:pt idx="39">
                  <c:v>128.92230883826602</c:v>
                </c:pt>
                <c:pt idx="40">
                  <c:v>127.22688250007219</c:v>
                </c:pt>
                <c:pt idx="41">
                  <c:v>125.58931425948794</c:v>
                </c:pt>
                <c:pt idx="42">
                  <c:v>124.01660580502038</c:v>
                </c:pt>
                <c:pt idx="43">
                  <c:v>122.5148488678838</c:v>
                </c:pt>
                <c:pt idx="44">
                  <c:v>121.08921018476491</c:v>
                </c:pt>
                <c:pt idx="45">
                  <c:v>119.74395116233536</c:v>
                </c:pt>
                <c:pt idx="46">
                  <c:v>118.48247634715415</c:v>
                </c:pt>
                <c:pt idx="47">
                  <c:v>117.30740400447576</c:v>
                </c:pt>
                <c:pt idx="48">
                  <c:v>116.22065201624615</c:v>
                </c:pt>
                <c:pt idx="49">
                  <c:v>115.22353276187825</c:v>
                </c:pt>
                <c:pt idx="50">
                  <c:v>114.316851460667</c:v>
                </c:pt>
                <c:pt idx="51">
                  <c:v>113.50100345657755</c:v>
                </c:pt>
                <c:pt idx="52">
                  <c:v>112.77606696956822</c:v>
                </c:pt>
                <c:pt idx="53">
                  <c:v>112.14188881694734</c:v>
                </c:pt>
                <c:pt idx="54">
                  <c:v>111.59816145725677</c:v>
                </c:pt>
                <c:pt idx="55">
                  <c:v>111.1444903953218</c:v>
                </c:pt>
                <c:pt idx="56">
                  <c:v>110.78045150340772</c:v>
                </c:pt>
                <c:pt idx="57">
                  <c:v>110.50563817002966</c:v>
                </c:pt>
                <c:pt idx="58">
                  <c:v>110.31969840510681</c:v>
                </c:pt>
                <c:pt idx="59">
                  <c:v>110.2223621325431</c:v>
                </c:pt>
                <c:pt idx="60">
                  <c:v>110.21345891477667</c:v>
                </c:pt>
                <c:pt idx="61">
                  <c:v>110.29292630317829</c:v>
                </c:pt>
                <c:pt idx="62">
                  <c:v>110.4608089165271</c:v>
                </c:pt>
                <c:pt idx="63">
                  <c:v>110.71724823873149</c:v>
                </c:pt>
                <c:pt idx="64">
                  <c:v>111.06246301722099</c:v>
                </c:pt>
                <c:pt idx="65">
                  <c:v>111.49672005575006</c:v>
                </c:pt>
                <c:pt idx="66">
                  <c:v>112.02029515152611</c:v>
                </c:pt>
                <c:pt idx="67">
                  <c:v>112.63342394990825</c:v>
                </c:pt>
                <c:pt idx="68">
                  <c:v>113.33624260546256</c:v>
                </c:pt>
                <c:pt idx="69">
                  <c:v>114.12871837168323</c:v>
                </c:pt>
                <c:pt idx="70">
                  <c:v>115.01057061762091</c:v>
                </c:pt>
                <c:pt idx="71">
                  <c:v>115.98118330723052</c:v>
                </c:pt>
                <c:pt idx="72">
                  <c:v>117.03951068489313</c:v>
                </c:pt>
                <c:pt idx="73">
                  <c:v>118.18397877850872</c:v>
                </c:pt>
                <c:pt idx="74">
                  <c:v>119.41238632339099</c:v>
                </c:pt>
                <c:pt idx="75">
                  <c:v>120.72180975489862</c:v>
                </c:pt>
                <c:pt idx="76">
                  <c:v>122.10851790447698</c:v>
                </c:pt>
                <c:pt idx="77">
                  <c:v>123.56790281290385</c:v>
                </c:pt>
                <c:pt idx="78">
                  <c:v>125.09443346805648</c:v>
                </c:pt>
                <c:pt idx="79">
                  <c:v>126.68163909887051</c:v>
                </c:pt>
                <c:pt idx="80">
                  <c:v>128.32212775799772</c:v>
                </c:pt>
                <c:pt idx="81">
                  <c:v>130.00764422081966</c:v>
                </c:pt>
                <c:pt idx="82">
                  <c:v>131.72916874985927</c:v>
                </c:pt>
                <c:pt idx="83">
                  <c:v>133.47705519527861</c:v>
                </c:pt>
                <c:pt idx="84">
                  <c:v>135.24120354086492</c:v>
                </c:pt>
                <c:pt idx="85">
                  <c:v>137.0112587847365</c:v>
                </c:pt>
                <c:pt idx="86">
                  <c:v>138.77682542590097</c:v>
                </c:pt>
                <c:pt idx="87">
                  <c:v>140.52768521776062</c:v>
                </c:pt>
                <c:pt idx="88">
                  <c:v>142.25400550931255</c:v>
                </c:pt>
                <c:pt idx="89">
                  <c:v>143.94652648027622</c:v>
                </c:pt>
                <c:pt idx="90">
                  <c:v>145.59671772505754</c:v>
                </c:pt>
                <c:pt idx="91">
                  <c:v>147.19689760928409</c:v>
                </c:pt>
                <c:pt idx="92">
                  <c:v>148.74031216643519</c:v>
                </c:pt>
                <c:pt idx="93">
                  <c:v>150.22117356730391</c:v>
                </c:pt>
                <c:pt idx="94">
                  <c:v>151.63466100364812</c:v>
                </c:pt>
                <c:pt idx="95">
                  <c:v>152.97688893081855</c:v>
                </c:pt>
                <c:pt idx="96">
                  <c:v>154.24484891039066</c:v>
                </c:pt>
                <c:pt idx="97">
                  <c:v>155.43633181175755</c:v>
                </c:pt>
                <c:pt idx="98">
                  <c:v>156.54983699434513</c:v>
                </c:pt>
                <c:pt idx="99">
                  <c:v>157.58447447310027</c:v>
                </c:pt>
                <c:pt idx="100">
                  <c:v>158.53986515329055</c:v>
                </c:pt>
                <c:pt idx="101">
                  <c:v>159.4160431721175</c:v>
                </c:pt>
                <c:pt idx="102">
                  <c:v>160.21336333497871</c:v>
                </c:pt>
                <c:pt idx="103">
                  <c:v>160.93241567389967</c:v>
                </c:pt>
                <c:pt idx="104">
                  <c:v>161.57394833748361</c:v>
                </c:pt>
                <c:pt idx="105">
                  <c:v>162.13879936771374</c:v>
                </c:pt>
                <c:pt idx="106">
                  <c:v>162.62783742892304</c:v>
                </c:pt>
                <c:pt idx="107">
                  <c:v>163.04191121401141</c:v>
                </c:pt>
                <c:pt idx="108">
                  <c:v>163.38180704101094</c:v>
                </c:pt>
                <c:pt idx="109">
                  <c:v>163.64821404547479</c:v>
                </c:pt>
                <c:pt idx="110">
                  <c:v>163.84169634782475</c:v>
                </c:pt>
                <c:pt idx="111">
                  <c:v>163.96267160932118</c:v>
                </c:pt>
                <c:pt idx="112">
                  <c:v>164.0113954686997</c:v>
                </c:pt>
                <c:pt idx="113">
                  <c:v>163.98795146019594</c:v>
                </c:pt>
                <c:pt idx="114">
                  <c:v>163.89224614212691</c:v>
                </c:pt>
                <c:pt idx="115">
                  <c:v>163.72400930529591</c:v>
                </c:pt>
                <c:pt idx="116">
                  <c:v>163.48279927570314</c:v>
                </c:pt>
                <c:pt idx="117">
                  <c:v>163.16801347063733</c:v>
                </c:pt>
                <c:pt idx="118">
                  <c:v>162.77890450532195</c:v>
                </c:pt>
                <c:pt idx="119">
                  <c:v>162.31460227210462</c:v>
                </c:pt>
                <c:pt idx="120">
                  <c:v>161.77414251710573</c:v>
                </c:pt>
                <c:pt idx="121">
                  <c:v>161.15650250914851</c:v>
                </c:pt>
                <c:pt idx="122">
                  <c:v>160.46064441837032</c:v>
                </c:pt>
                <c:pt idx="123">
                  <c:v>159.6855669793768</c:v>
                </c:pt>
                <c:pt idx="124">
                  <c:v>158.83036588504089</c:v>
                </c:pt>
                <c:pt idx="125">
                  <c:v>157.89430311862998</c:v>
                </c:pt>
                <c:pt idx="126">
                  <c:v>156.87688506013609</c:v>
                </c:pt>
                <c:pt idx="127">
                  <c:v>155.77794867710475</c:v>
                </c:pt>
                <c:pt idx="128">
                  <c:v>154.59775441916639</c:v>
                </c:pt>
                <c:pt idx="129">
                  <c:v>153.33708358286418</c:v>
                </c:pt>
                <c:pt idx="130">
                  <c:v>151.99733692737169</c:v>
                </c:pt>
                <c:pt idx="131">
                  <c:v>150.58063026292052</c:v>
                </c:pt>
                <c:pt idx="132">
                  <c:v>149.08988170162903</c:v>
                </c:pt>
                <c:pt idx="133">
                  <c:v>147.5288843942655</c:v>
                </c:pt>
                <c:pt idx="134">
                  <c:v>145.90235804789984</c:v>
                </c:pt>
                <c:pt idx="135">
                  <c:v>144.21597251312676</c:v>
                </c:pt>
                <c:pt idx="136">
                  <c:v>142.47633741163884</c:v>
                </c:pt>
                <c:pt idx="137">
                  <c:v>140.69095325139224</c:v>
                </c:pt>
                <c:pt idx="138">
                  <c:v>138.86812174999594</c:v>
                </c:pt>
                <c:pt idx="139">
                  <c:v>137.01681602324464</c:v>
                </c:pt>
                <c:pt idx="140">
                  <c:v>135.14651461490575</c:v>
                </c:pt>
                <c:pt idx="141">
                  <c:v>133.26700664536378</c:v>
                </c:pt>
                <c:pt idx="142">
                  <c:v>131.38817818095887</c:v>
                </c:pt>
                <c:pt idx="143">
                  <c:v>129.51979184229214</c:v>
                </c:pt>
                <c:pt idx="144">
                  <c:v>127.67127236971326</c:v>
                </c:pt>
                <c:pt idx="145">
                  <c:v>125.85151023188074</c:v>
                </c:pt>
                <c:pt idx="146">
                  <c:v>124.06869350341907</c:v>
                </c:pt>
                <c:pt idx="147">
                  <c:v>122.33017545060019</c:v>
                </c:pt>
                <c:pt idx="148">
                  <c:v>120.64238197610955</c:v>
                </c:pt>
                <c:pt idx="149">
                  <c:v>119.0107597457929</c:v>
                </c:pt>
                <c:pt idx="150">
                  <c:v>117.43976285726232</c:v>
                </c:pt>
                <c:pt idx="151">
                  <c:v>115.9328735995541</c:v>
                </c:pt>
                <c:pt idx="152">
                  <c:v>114.49265133633951</c:v>
                </c:pt>
                <c:pt idx="153">
                  <c:v>113.12080282635372</c:v>
                </c:pt>
                <c:pt idx="154">
                  <c:v>111.81826727214379</c:v>
                </c:pt>
                <c:pt idx="155">
                  <c:v>110.58530989803994</c:v>
                </c:pt>
                <c:pt idx="156">
                  <c:v>109.42161871594993</c:v>
                </c:pt>
                <c:pt idx="157">
                  <c:v>108.32640017050801</c:v>
                </c:pt>
                <c:pt idx="158">
                  <c:v>107.29847042226952</c:v>
                </c:pt>
                <c:pt idx="159">
                  <c:v>106.33634002781203</c:v>
                </c:pt>
                <c:pt idx="160">
                  <c:v>105.43829064662697</c:v>
                </c:pt>
                <c:pt idx="161">
                  <c:v>104.60244311735973</c:v>
                </c:pt>
                <c:pt idx="162">
                  <c:v>103.82681679569413</c:v>
                </c:pt>
                <c:pt idx="163">
                  <c:v>103.10938044458842</c:v>
                </c:pt>
                <c:pt idx="164">
                  <c:v>102.44809523530392</c:v>
                </c:pt>
                <c:pt idx="165">
                  <c:v>101.84095057895625</c:v>
                </c:pt>
                <c:pt idx="166">
                  <c:v>101.28599358728408</c:v>
                </c:pt>
                <c:pt idx="167">
                  <c:v>100.78135297982755</c:v>
                </c:pt>
                <c:pt idx="168">
                  <c:v>100.32525823120305</c:v>
                </c:pt>
                <c:pt idx="169">
                  <c:v>99.916054701486672</c:v>
                </c:pt>
                <c:pt idx="170">
                  <c:v>99.552215426223569</c:v>
                </c:pt>
                <c:pt idx="171">
                  <c:v>99.23235016857592</c:v>
                </c:pt>
                <c:pt idx="172">
                  <c:v>98.955212260379284</c:v>
                </c:pt>
                <c:pt idx="173">
                  <c:v>98.719703685209055</c:v>
                </c:pt>
                <c:pt idx="174">
                  <c:v>98.524878787207967</c:v>
                </c:pt>
                <c:pt idx="175">
                  <c:v>98.369946925567831</c:v>
                </c:pt>
                <c:pt idx="176">
                  <c:v>98.254274336532148</c:v>
                </c:pt>
                <c:pt idx="177">
                  <c:v>98.177385412398607</c:v>
                </c:pt>
                <c:pt idx="178">
                  <c:v>98.138963559695043</c:v>
                </c:pt>
                <c:pt idx="179">
                  <c:v>98.138851755676541</c:v>
                </c:pt>
                <c:pt idx="180">
                  <c:v>98.177052882608081</c:v>
                </c:pt>
                <c:pt idx="181">
                  <c:v>98.253729881938114</c:v>
                </c:pt>
                <c:pt idx="182">
                  <c:v>98.369205734358218</c:v>
                </c:pt>
                <c:pt idx="183">
                  <c:v>98.52396323580534</c:v>
                </c:pt>
                <c:pt idx="184">
                  <c:v>98.718644502598423</c:v>
                </c:pt>
                <c:pt idx="185">
                  <c:v>98.954050100040305</c:v>
                </c:pt>
                <c:pt idx="186">
                  <c:v>99.231137646918867</c:v>
                </c:pt>
                <c:pt idx="187">
                  <c:v>99.551019702436463</c:v>
                </c:pt>
                <c:pt idx="188">
                  <c:v>99.914960691341761</c:v>
                </c:pt>
                <c:pt idx="189">
                  <c:v>100.32437256678219</c:v>
                </c:pt>
                <c:pt idx="190">
                  <c:v>100.78080884832731</c:v>
                </c:pt>
                <c:pt idx="191">
                  <c:v>101.28595660488392</c:v>
                </c:pt>
                <c:pt idx="192">
                  <c:v>101.84162587972853</c:v>
                </c:pt>
                <c:pt idx="193">
                  <c:v>102.44973597950954</c:v>
                </c:pt>
                <c:pt idx="194">
                  <c:v>103.11229797410581</c:v>
                </c:pt>
                <c:pt idx="195">
                  <c:v>103.83139268481067</c:v>
                </c:pt>
                <c:pt idx="196">
                  <c:v>104.60914338192086</c:v>
                </c:pt>
                <c:pt idx="197">
                  <c:v>105.44768237984475</c:v>
                </c:pt>
                <c:pt idx="198">
                  <c:v>106.34911072204214</c:v>
                </c:pt>
                <c:pt idx="199">
                  <c:v>107.31545020686491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85544"/>
        <c:axId val="195885928"/>
      </c:scatterChart>
      <c:valAx>
        <c:axId val="195885544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885928"/>
        <c:crosses val="autoZero"/>
        <c:crossBetween val="midCat"/>
      </c:valAx>
      <c:valAx>
        <c:axId val="195885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885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|Verr</a:t>
            </a:r>
            <a:r>
              <a:rPr lang="en-US" baseline="0"/>
              <a:t> / Vout|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Compensation'!$AR$1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'9.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</c:numCache>
            </c:numRef>
          </c:xVal>
          <c:yVal>
            <c:numRef>
              <c:f>'9. Loop Compensation'!$AR$2:$AR$200</c:f>
              <c:numCache>
                <c:formatCode>General</c:formatCode>
                <c:ptCount val="199"/>
                <c:pt idx="0">
                  <c:v>37.148696439491282</c:v>
                </c:pt>
                <c:pt idx="1">
                  <c:v>37.143363215519052</c:v>
                </c:pt>
                <c:pt idx="2">
                  <c:v>37.137247937978685</c:v>
                </c:pt>
                <c:pt idx="3">
                  <c:v>37.13023728504907</c:v>
                </c:pt>
                <c:pt idx="4">
                  <c:v>37.122201939666233</c:v>
                </c:pt>
                <c:pt idx="5">
                  <c:v>37.112994464699007</c:v>
                </c:pt>
                <c:pt idx="6">
                  <c:v>37.10244693742905</c:v>
                </c:pt>
                <c:pt idx="7">
                  <c:v>37.090368329362647</c:v>
                </c:pt>
                <c:pt idx="8">
                  <c:v>37.07654162131665</c:v>
                </c:pt>
                <c:pt idx="9">
                  <c:v>37.060720649685983</c:v>
                </c:pt>
                <c:pt idx="10">
                  <c:v>37.042626688396574</c:v>
                </c:pt>
                <c:pt idx="11">
                  <c:v>37.021944782937751</c:v>
                </c:pt>
                <c:pt idx="12">
                  <c:v>36.998319868799463</c:v>
                </c:pt>
                <c:pt idx="13">
                  <c:v>36.971352727386517</c:v>
                </c:pt>
                <c:pt idx="14">
                  <c:v>36.9405958588003</c:v>
                </c:pt>
                <c:pt idx="15">
                  <c:v>36.905549383383843</c:v>
                </c:pt>
                <c:pt idx="16">
                  <c:v>36.865657122941144</c:v>
                </c:pt>
                <c:pt idx="17">
                  <c:v>36.820303057876551</c:v>
                </c:pt>
                <c:pt idx="18">
                  <c:v>36.768808407151738</c:v>
                </c:pt>
                <c:pt idx="19">
                  <c:v>36.710429631771049</c:v>
                </c:pt>
                <c:pt idx="20">
                  <c:v>36.644357715777154</c:v>
                </c:pt>
                <c:pt idx="21">
                  <c:v>36.569719125863152</c:v>
                </c:pt>
                <c:pt idx="22">
                  <c:v>36.485578883940562</c:v>
                </c:pt>
                <c:pt idx="23">
                  <c:v>36.390946196493921</c:v>
                </c:pt>
                <c:pt idx="24">
                  <c:v>36.284783058847019</c:v>
                </c:pt>
                <c:pt idx="25">
                  <c:v>36.166016179628372</c:v>
                </c:pt>
                <c:pt idx="26">
                  <c:v>36.033552440288652</c:v>
                </c:pt>
                <c:pt idx="27">
                  <c:v>35.886297910199517</c:v>
                </c:pt>
                <c:pt idx="28">
                  <c:v>35.7231801808014</c:v>
                </c:pt>
                <c:pt idx="29">
                  <c:v>35.543173474232333</c:v>
                </c:pt>
                <c:pt idx="30">
                  <c:v>35.34532564742905</c:v>
                </c:pt>
                <c:pt idx="31">
                  <c:v>35.128785889205055</c:v>
                </c:pt>
                <c:pt idx="32">
                  <c:v>34.892831642247003</c:v>
                </c:pt>
                <c:pt idx="33">
                  <c:v>34.636893124105661</c:v>
                </c:pt>
                <c:pt idx="34">
                  <c:v>34.360573813924162</c:v>
                </c:pt>
                <c:pt idx="35">
                  <c:v>34.063665440009927</c:v>
                </c:pt>
                <c:pt idx="36">
                  <c:v>33.746156346142186</c:v>
                </c:pt>
                <c:pt idx="37">
                  <c:v>33.408232600234129</c:v>
                </c:pt>
                <c:pt idx="38">
                  <c:v>33.050271779245428</c:v>
                </c:pt>
                <c:pt idx="39">
                  <c:v>32.67282994397101</c:v>
                </c:pt>
                <c:pt idx="40">
                  <c:v>32.2766228295514</c:v>
                </c:pt>
                <c:pt idx="41">
                  <c:v>31.862502658710085</c:v>
                </c:pt>
                <c:pt idx="42">
                  <c:v>31.431432196356308</c:v>
                </c:pt>
                <c:pt idx="43">
                  <c:v>30.984457697903593</c:v>
                </c:pt>
                <c:pt idx="44">
                  <c:v>30.522682278959607</c:v>
                </c:pt>
                <c:pt idx="45">
                  <c:v>30.047240990504903</c:v>
                </c:pt>
                <c:pt idx="46">
                  <c:v>29.55927857037414</c:v>
                </c:pt>
                <c:pt idx="47">
                  <c:v>29.059930507149303</c:v>
                </c:pt>
                <c:pt idx="48">
                  <c:v>28.550307736531767</c:v>
                </c:pt>
                <c:pt idx="49">
                  <c:v>28.031485020565103</c:v>
                </c:pt>
                <c:pt idx="50">
                  <c:v>27.504492851374529</c:v>
                </c:pt>
                <c:pt idx="51">
                  <c:v>26.970312576712114</c:v>
                </c:pt>
                <c:pt idx="52">
                  <c:v>26.429874359643364</c:v>
                </c:pt>
                <c:pt idx="53">
                  <c:v>25.884057549304742</c:v>
                </c:pt>
                <c:pt idx="54">
                  <c:v>25.333693041856634</c:v>
                </c:pt>
                <c:pt idx="55">
                  <c:v>24.779567238629664</c:v>
                </c:pt>
                <c:pt idx="56">
                  <c:v>24.22242725144395</c:v>
                </c:pt>
                <c:pt idx="57">
                  <c:v>23.662987054561178</c:v>
                </c:pt>
                <c:pt idx="58">
                  <c:v>23.101934332172391</c:v>
                </c:pt>
                <c:pt idx="59">
                  <c:v>22.539937815094305</c:v>
                </c:pt>
                <c:pt idx="60">
                  <c:v>21.977654937331277</c:v>
                </c:pt>
                <c:pt idx="61">
                  <c:v>21.415739670426966</c:v>
                </c:pt>
                <c:pt idx="62">
                  <c:v>20.854850409955002</c:v>
                </c:pt>
                <c:pt idx="63">
                  <c:v>20.295657793531984</c:v>
                </c:pt>
                <c:pt idx="64">
                  <c:v>19.738852323214687</c:v>
                </c:pt>
                <c:pt idx="65">
                  <c:v>19.185151647282726</c:v>
                </c:pt>
                <c:pt idx="66">
                  <c:v>18.635307327802614</c:v>
                </c:pt>
                <c:pt idx="67">
                  <c:v>18.090110882248901</c:v>
                </c:pt>
                <c:pt idx="68">
                  <c:v>17.55039884187018</c:v>
                </c:pt>
                <c:pt idx="69">
                  <c:v>17.017056519725319</c:v>
                </c:pt>
                <c:pt idx="70">
                  <c:v>16.491020132233029</c:v>
                </c:pt>
                <c:pt idx="71">
                  <c:v>15.97327687647933</c:v>
                </c:pt>
                <c:pt idx="72">
                  <c:v>15.464862540274176</c:v>
                </c:pt>
                <c:pt idx="73">
                  <c:v>14.966856223839356</c:v>
                </c:pt>
                <c:pt idx="74">
                  <c:v>14.480371793057758</c:v>
                </c:pt>
                <c:pt idx="75">
                  <c:v>14.006545776231016</c:v>
                </c:pt>
                <c:pt idx="76">
                  <c:v>13.546521568696459</c:v>
                </c:pt>
                <c:pt idx="77">
                  <c:v>13.101430026487996</c:v>
                </c:pt>
                <c:pt idx="78">
                  <c:v>12.672366806848995</c:v>
                </c:pt>
                <c:pt idx="79">
                  <c:v>12.26036713358382</c:v>
                </c:pt>
                <c:pt idx="80">
                  <c:v>11.866378999585246</c:v>
                </c:pt>
                <c:pt idx="81">
                  <c:v>11.491236125989222</c:v>
                </c:pt>
                <c:pt idx="82">
                  <c:v>11.135632228317025</c:v>
                </c:pt>
                <c:pt idx="83">
                  <c:v>10.80009824621939</c:v>
                </c:pt>
                <c:pt idx="84">
                  <c:v>10.484984137450875</c:v>
                </c:pt>
                <c:pt idx="85">
                  <c:v>10.190446602188704</c:v>
                </c:pt>
                <c:pt idx="86">
                  <c:v>9.9164437030100032</c:v>
                </c:pt>
                <c:pt idx="87">
                  <c:v>9.6627368208604221</c:v>
                </c:pt>
                <c:pt idx="88">
                  <c:v>9.4288998041959218</c:v>
                </c:pt>
                <c:pt idx="89">
                  <c:v>9.2143346047762424</c:v>
                </c:pt>
                <c:pt idx="90">
                  <c:v>9.0182922230448117</c:v>
                </c:pt>
                <c:pt idx="91">
                  <c:v>8.8398974640526049</c:v>
                </c:pt>
                <c:pt idx="92">
                  <c:v>8.6781758591053837</c:v>
                </c:pt>
                <c:pt idx="93">
                  <c:v>8.5320811363058198</c:v>
                </c:pt>
                <c:pt idx="94">
                  <c:v>8.4005217969250285</c:v>
                </c:pt>
                <c:pt idx="95">
                  <c:v>8.282385629756595</c:v>
                </c:pt>
                <c:pt idx="96">
                  <c:v>8.1765613223525708</c:v>
                </c:pt>
                <c:pt idx="97">
                  <c:v>8.0819566602731179</c:v>
                </c:pt>
                <c:pt idx="98">
                  <c:v>7.9975131073541732</c:v>
                </c:pt>
                <c:pt idx="99">
                  <c:v>7.9222168086365805</c:v>
                </c:pt>
                <c:pt idx="100">
                  <c:v>7.8551062427428402</c:v>
                </c:pt>
                <c:pt idx="101">
                  <c:v>7.7952768721191736</c:v>
                </c:pt>
                <c:pt idx="102">
                  <c:v>7.7418832046894215</c:v>
                </c:pt>
                <c:pt idx="103">
                  <c:v>7.6941386998826182</c:v>
                </c:pt>
                <c:pt idx="104">
                  <c:v>7.6513139376902428</c:v>
                </c:pt>
                <c:pt idx="105">
                  <c:v>7.612733432697647</c:v>
                </c:pt>
                <c:pt idx="106">
                  <c:v>7.5777714255633244</c:v>
                </c:pt>
                <c:pt idx="107">
                  <c:v>7.5458469297122255</c:v>
                </c:pt>
                <c:pt idx="108">
                  <c:v>7.5164182564905611</c:v>
                </c:pt>
                <c:pt idx="109">
                  <c:v>7.4889771913012959</c:v>
                </c:pt>
                <c:pt idx="110">
                  <c:v>7.4630429484378116</c:v>
                </c:pt>
                <c:pt idx="111">
                  <c:v>7.4381559945348643</c:v>
                </c:pt>
                <c:pt idx="112">
                  <c:v>7.4138718001306536</c:v>
                </c:pt>
                <c:pt idx="113">
                  <c:v>7.3897545557319084</c:v>
                </c:pt>
                <c:pt idx="114">
                  <c:v>7.365370872760959</c:v>
                </c:pt>
                <c:pt idx="115">
                  <c:v>7.3402834805670079</c:v>
                </c:pt>
                <c:pt idx="116">
                  <c:v>7.3140449281157967</c:v>
                </c:pt>
                <c:pt idx="117">
                  <c:v>7.2861913029725756</c:v>
                </c:pt>
                <c:pt idx="118">
                  <c:v>7.2562359908502385</c:v>
                </c:pt>
                <c:pt idx="119">
                  <c:v>7.2236635165285312</c:v>
                </c:pt>
                <c:pt idx="120">
                  <c:v>7.1879235316264758</c:v>
                </c:pt>
                <c:pt idx="121">
                  <c:v>7.1484250467440713</c:v>
                </c:pt>
                <c:pt idx="122">
                  <c:v>7.1045310448573034</c:v>
                </c:pt>
                <c:pt idx="123">
                  <c:v>7.055553659051828</c:v>
                </c:pt>
                <c:pt idx="124">
                  <c:v>7.0007501494374029</c:v>
                </c:pt>
                <c:pt idx="125">
                  <c:v>6.9393199689719935</c:v>
                </c:pt>
                <c:pt idx="126">
                  <c:v>6.8704032619621227</c:v>
                </c:pt>
                <c:pt idx="127">
                  <c:v>6.7930811863240015</c:v>
                </c:pt>
                <c:pt idx="128">
                  <c:v>6.7063784832811919</c:v>
                </c:pt>
                <c:pt idx="129">
                  <c:v>6.6092687259716278</c:v>
                </c:pt>
                <c:pt idx="130">
                  <c:v>6.500682649849753</c:v>
                </c:pt>
                <c:pt idx="131">
                  <c:v>6.3795198908957627</c:v>
                </c:pt>
                <c:pt idx="132">
                  <c:v>6.2446643222638274</c:v>
                </c:pt>
                <c:pt idx="133">
                  <c:v>6.0950029803823016</c:v>
                </c:pt>
                <c:pt idx="134">
                  <c:v>5.929448309666431</c:v>
                </c:pt>
                <c:pt idx="135">
                  <c:v>5.7469631438219491</c:v>
                </c:pt>
                <c:pt idx="136">
                  <c:v>5.5465875070113846</c:v>
                </c:pt>
                <c:pt idx="137">
                  <c:v>5.3274659983795791</c:v>
                </c:pt>
                <c:pt idx="138">
                  <c:v>5.0888742661678732</c:v>
                </c:pt>
                <c:pt idx="139">
                  <c:v>4.8302429324555636</c:v>
                </c:pt>
                <c:pt idx="140">
                  <c:v>4.5511773380936011</c:v>
                </c:pt>
                <c:pt idx="141">
                  <c:v>4.2514716626313191</c:v>
                </c:pt>
                <c:pt idx="142">
                  <c:v>3.93111633195086</c:v>
                </c:pt>
                <c:pt idx="143">
                  <c:v>3.5902981226517934</c:v>
                </c:pt>
                <c:pt idx="144">
                  <c:v>3.2293929464893276</c:v>
                </c:pt>
                <c:pt idx="145">
                  <c:v>2.8489518744193671</c:v>
                </c:pt>
                <c:pt idx="146">
                  <c:v>2.4496814617095199</c:v>
                </c:pt>
                <c:pt idx="147">
                  <c:v>2.0324198015336665</c:v>
                </c:pt>
                <c:pt idx="148">
                  <c:v>1.5981099287214098</c:v>
                </c:pt>
                <c:pt idx="149">
                  <c:v>1.1477722123054641</c:v>
                </c:pt>
                <c:pt idx="150">
                  <c:v>0.68247723698819684</c:v>
                </c:pt>
                <c:pt idx="151">
                  <c:v>0.20332042055784211</c:v>
                </c:pt>
                <c:pt idx="152">
                  <c:v>-0.28860070395285531</c:v>
                </c:pt>
                <c:pt idx="153">
                  <c:v>-0.79220594807732869</c:v>
                </c:pt>
                <c:pt idx="154">
                  <c:v>-1.3064483901458375</c:v>
                </c:pt>
                <c:pt idx="155">
                  <c:v>-1.8303267458709984</c:v>
                </c:pt>
                <c:pt idx="156">
                  <c:v>-2.3628943769254556</c:v>
                </c:pt>
                <c:pt idx="157">
                  <c:v>-2.9032652665764336</c:v>
                </c:pt>
                <c:pt idx="158">
                  <c:v>-3.4506173719979643</c:v>
                </c:pt>
                <c:pt idx="159">
                  <c:v>-4.0041937946302548</c:v>
                </c:pt>
                <c:pt idx="160">
                  <c:v>-4.5633022047419987</c:v>
                </c:pt>
                <c:pt idx="161">
                  <c:v>-5.127312925794886</c:v>
                </c:pt>
                <c:pt idx="162">
                  <c:v>-5.6956560384346409</c:v>
                </c:pt>
                <c:pt idx="163">
                  <c:v>-6.2678178109934777</c:v>
                </c:pt>
                <c:pt idx="164">
                  <c:v>-6.8433367091928314</c:v>
                </c:pt>
                <c:pt idx="165">
                  <c:v>-7.4217991862352353</c:v>
                </c:pt>
                <c:pt idx="166">
                  <c:v>-8.0028354080207382</c:v>
                </c:pt>
                <c:pt idx="167">
                  <c:v>-8.5861150279646044</c:v>
                </c:pt>
                <c:pt idx="168">
                  <c:v>-9.1713430921071577</c:v>
                </c:pt>
                <c:pt idx="169">
                  <c:v>-9.7582561276290072</c:v>
                </c:pt>
                <c:pt idx="170">
                  <c:v>-10.346618445925472</c:v>
                </c:pt>
                <c:pt idx="171">
                  <c:v>-10.936218674304083</c:v>
                </c:pt>
                <c:pt idx="172">
                  <c:v>-11.526866517362828</c:v>
                </c:pt>
                <c:pt idx="173">
                  <c:v>-12.118389739434976</c:v>
                </c:pt>
                <c:pt idx="174">
                  <c:v>-12.710631352455161</c:v>
                </c:pt>
                <c:pt idx="175">
                  <c:v>-13.303446988622767</c:v>
                </c:pt>
                <c:pt idx="176">
                  <c:v>-13.896702433813843</c:v>
                </c:pt>
                <c:pt idx="177">
                  <c:v>-14.490271295405442</c:v>
                </c:pt>
                <c:pt idx="178">
                  <c:v>-15.084032776708327</c:v>
                </c:pt>
                <c:pt idx="179">
                  <c:v>-15.677869529302694</c:v>
                </c:pt>
                <c:pt idx="180">
                  <c:v>-16.271665554049338</c:v>
                </c:pt>
                <c:pt idx="181">
                  <c:v>-16.865304121275344</c:v>
                </c:pt>
                <c:pt idx="182">
                  <c:v>-17.458665680543643</c:v>
                </c:pt>
                <c:pt idx="183">
                  <c:v>-18.051625730456539</c:v>
                </c:pt>
                <c:pt idx="184">
                  <c:v>-18.644052619161403</c:v>
                </c:pt>
                <c:pt idx="185">
                  <c:v>-19.235805246651335</c:v>
                </c:pt>
                <c:pt idx="186">
                  <c:v>-19.826730640729412</c:v>
                </c:pt>
                <c:pt idx="187">
                  <c:v>-20.416661379770972</c:v>
                </c:pt>
                <c:pt idx="188">
                  <c:v>-21.005412837429908</c:v>
                </c:pt>
                <c:pt idx="189">
                  <c:v>-21.592780227470179</c:v>
                </c:pt>
                <c:pt idx="190">
                  <c:v>-22.17853543136977</c:v>
                </c:pt>
                <c:pt idx="191">
                  <c:v>-22.762423597691001</c:v>
                </c:pt>
                <c:pt idx="192">
                  <c:v>-23.344159511018752</c:v>
                </c:pt>
                <c:pt idx="193">
                  <c:v>-23.923423740189733</c:v>
                </c:pt>
                <c:pt idx="194">
                  <c:v>-24.499858591309756</c:v>
                </c:pt>
                <c:pt idx="195">
                  <c:v>-25.073063911464587</c:v>
                </c:pt>
                <c:pt idx="196">
                  <c:v>-25.642592814837041</c:v>
                </c:pt>
                <c:pt idx="197">
                  <c:v>-26.207947434809569</c:v>
                </c:pt>
                <c:pt idx="198">
                  <c:v>-26.768574843931731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212336"/>
        <c:axId val="195905744"/>
      </c:scatterChart>
      <c:valAx>
        <c:axId val="25321233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905744"/>
        <c:crosses val="autoZero"/>
        <c:crossBetween val="midCat"/>
      </c:valAx>
      <c:valAx>
        <c:axId val="19590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3212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Vloop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Compensation'!$AT$1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'9.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  <c:pt idx="199">
                  <c:v>933254.30079698924</c:v>
                </c:pt>
              </c:numCache>
            </c:numRef>
          </c:xVal>
          <c:yVal>
            <c:numRef>
              <c:f>'9. Loop Compensation'!$AT$2:$AT$201</c:f>
              <c:numCache>
                <c:formatCode>General</c:formatCode>
                <c:ptCount val="200"/>
                <c:pt idx="0">
                  <c:v>174.04808490222476</c:v>
                </c:pt>
                <c:pt idx="1">
                  <c:v>173.62471725350389</c:v>
                </c:pt>
                <c:pt idx="2">
                  <c:v>173.17159790203152</c:v>
                </c:pt>
                <c:pt idx="3">
                  <c:v>172.68671861043589</c:v>
                </c:pt>
                <c:pt idx="4">
                  <c:v>172.16795430801565</c:v>
                </c:pt>
                <c:pt idx="5">
                  <c:v>171.61306060592113</c:v>
                </c:pt>
                <c:pt idx="6">
                  <c:v>171.01967236760339</c:v>
                </c:pt>
                <c:pt idx="7">
                  <c:v>170.38530364748271</c:v>
                </c:pt>
                <c:pt idx="8">
                  <c:v>169.70734937026413</c:v>
                </c:pt>
                <c:pt idx="9">
                  <c:v>168.98308918924167</c:v>
                </c:pt>
                <c:pt idx="10">
                  <c:v>168.20969403315493</c:v>
                </c:pt>
                <c:pt idx="11">
                  <c:v>167.384235925523</c:v>
                </c:pt>
                <c:pt idx="12">
                  <c:v>166.50370173425824</c:v>
                </c:pt>
                <c:pt idx="13">
                  <c:v>165.56501157728701</c:v>
                </c:pt>
                <c:pt idx="14">
                  <c:v>164.56504266393642</c:v>
                </c:pt>
                <c:pt idx="15">
                  <c:v>163.5006593811361</c:v>
                </c:pt>
                <c:pt idx="16">
                  <c:v>162.36875042377051</c:v>
                </c:pt>
                <c:pt idx="17">
                  <c:v>161.16627370191483</c:v>
                </c:pt>
                <c:pt idx="18">
                  <c:v>159.89030961290626</c:v>
                </c:pt>
                <c:pt idx="19">
                  <c:v>158.53812301945868</c:v>
                </c:pt>
                <c:pt idx="20">
                  <c:v>157.10723390210106</c:v>
                </c:pt>
                <c:pt idx="21">
                  <c:v>155.59549613384871</c:v>
                </c:pt>
                <c:pt idx="22">
                  <c:v>154.00118314412279</c:v>
                </c:pt>
                <c:pt idx="23">
                  <c:v>152.32307839958045</c:v>
                </c:pt>
                <c:pt idx="24">
                  <c:v>150.56056765712034</c:v>
                </c:pt>
                <c:pt idx="25">
                  <c:v>148.71372889626912</c:v>
                </c:pt>
                <c:pt idx="26">
                  <c:v>146.78341481020917</c:v>
                </c:pt>
                <c:pt idx="27">
                  <c:v>144.77132186292604</c:v>
                </c:pt>
                <c:pt idx="28">
                  <c:v>142.68003937391489</c:v>
                </c:pt>
                <c:pt idx="29">
                  <c:v>140.51307205668425</c:v>
                </c:pt>
                <c:pt idx="30">
                  <c:v>138.27483008285415</c:v>
                </c:pt>
                <c:pt idx="31">
                  <c:v>135.97058218393008</c:v>
                </c:pt>
                <c:pt idx="32">
                  <c:v>133.60636955213488</c:v>
                </c:pt>
                <c:pt idx="33">
                  <c:v>131.18888123973059</c:v>
                </c:pt>
                <c:pt idx="34">
                  <c:v>128.72529511609224</c:v>
                </c:pt>
                <c:pt idx="35">
                  <c:v>126.22309183120339</c:v>
                </c:pt>
                <c:pt idx="36">
                  <c:v>123.68985219416609</c:v>
                </c:pt>
                <c:pt idx="37">
                  <c:v>121.13305046562529</c:v>
                </c:pt>
                <c:pt idx="38">
                  <c:v>118.55985695570533</c:v>
                </c:pt>
                <c:pt idx="39">
                  <c:v>115.97696287179429</c:v>
                </c:pt>
                <c:pt idx="40">
                  <c:v>113.39043864856021</c:v>
                </c:pt>
                <c:pt idx="41">
                  <c:v>110.80563428791507</c:v>
                </c:pt>
                <c:pt idx="42">
                  <c:v>108.22712694194173</c:v>
                </c:pt>
                <c:pt idx="43">
                  <c:v>105.65871752872528</c:v>
                </c:pt>
                <c:pt idx="44">
                  <c:v>103.10347497076329</c:v>
                </c:pt>
                <c:pt idx="45">
                  <c:v>100.56382396345518</c:v>
                </c:pt>
                <c:pt idx="46">
                  <c:v>98.041670148484869</c:v>
                </c:pt>
                <c:pt idx="47">
                  <c:v>95.538555179947423</c:v>
                </c:pt>
                <c:pt idx="48">
                  <c:v>93.055833327409459</c:v>
                </c:pt>
                <c:pt idx="49">
                  <c:v>90.594860808884775</c:v>
                </c:pt>
                <c:pt idx="50">
                  <c:v>88.157188839499298</c:v>
                </c:pt>
                <c:pt idx="51">
                  <c:v>85.74475131382539</c:v>
                </c:pt>
                <c:pt idx="52">
                  <c:v>83.360038077099603</c:v>
                </c:pt>
                <c:pt idx="53">
                  <c:v>81.00624492655507</c:v>
                </c:pt>
                <c:pt idx="54">
                  <c:v>78.687391930314774</c:v>
                </c:pt>
                <c:pt idx="55">
                  <c:v>76.408402508181723</c:v>
                </c:pt>
                <c:pt idx="56">
                  <c:v>74.175137132671139</c:v>
                </c:pt>
                <c:pt idx="57">
                  <c:v>71.99437757072215</c:v>
                </c:pt>
                <c:pt idx="58">
                  <c:v>69.873760283396933</c:v>
                </c:pt>
                <c:pt idx="59">
                  <c:v>67.821660781404887</c:v>
                </c:pt>
                <c:pt idx="60">
                  <c:v>65.847034105962592</c:v>
                </c:pt>
                <c:pt idx="61">
                  <c:v>63.959219767091348</c:v>
                </c:pt>
                <c:pt idx="62">
                  <c:v>62.167721987104308</c:v>
                </c:pt>
                <c:pt idx="63">
                  <c:v>60.481977582239907</c:v>
                </c:pt>
                <c:pt idx="64">
                  <c:v>58.911124031055486</c:v>
                </c:pt>
                <c:pt idx="65">
                  <c:v>57.463779191097757</c:v>
                </c:pt>
                <c:pt idx="66">
                  <c:v>56.147841922009832</c:v>
                </c:pt>
                <c:pt idx="67">
                  <c:v>54.970319921454454</c:v>
                </c:pt>
                <c:pt idx="68">
                  <c:v>53.937187850809771</c:v>
                </c:pt>
                <c:pt idx="69">
                  <c:v>53.053275799457793</c:v>
                </c:pt>
                <c:pt idx="70">
                  <c:v>52.322185710992414</c:v>
                </c:pt>
                <c:pt idx="71">
                  <c:v>51.746231838228155</c:v>
                </c:pt>
                <c:pt idx="72">
                  <c:v>51.326400715516527</c:v>
                </c:pt>
                <c:pt idx="73">
                  <c:v>51.062326496821541</c:v>
                </c:pt>
                <c:pt idx="74">
                  <c:v>50.952278646178598</c:v>
                </c:pt>
                <c:pt idx="75">
                  <c:v>50.993160638832947</c:v>
                </c:pt>
                <c:pt idx="76">
                  <c:v>51.180520241854722</c:v>
                </c:pt>
                <c:pt idx="77">
                  <c:v>51.50857377747991</c:v>
                </c:pt>
                <c:pt idx="78">
                  <c:v>51.97024822276407</c:v>
                </c:pt>
                <c:pt idx="79">
                  <c:v>52.557245791943771</c:v>
                </c:pt>
                <c:pt idx="80">
                  <c:v>53.260135576813795</c:v>
                </c:pt>
                <c:pt idx="81">
                  <c:v>54.0684757818739</c:v>
                </c:pt>
                <c:pt idx="82">
                  <c:v>54.970968117738039</c:v>
                </c:pt>
                <c:pt idx="83">
                  <c:v>55.95564319719098</c:v>
                </c:pt>
                <c:pt idx="84">
                  <c:v>57.010072652251637</c:v>
                </c:pt>
                <c:pt idx="85">
                  <c:v>58.12160060623809</c:v>
                </c:pt>
                <c:pt idx="86">
                  <c:v>59.277584576742186</c:v>
                </c:pt>
                <c:pt idx="87">
                  <c:v>60.465634280570953</c:v>
                </c:pt>
                <c:pt idx="88">
                  <c:v>61.67383643920391</c:v>
                </c:pt>
                <c:pt idx="89">
                  <c:v>62.890954613123839</c:v>
                </c:pt>
                <c:pt idx="90">
                  <c:v>64.106595173330632</c:v>
                </c:pt>
                <c:pt idx="91">
                  <c:v>65.311333412980659</c:v>
                </c:pt>
                <c:pt idx="92">
                  <c:v>66.496797071429853</c:v>
                </c:pt>
                <c:pt idx="93">
                  <c:v>67.655707736827125</c:v>
                </c:pt>
                <c:pt idx="94">
                  <c:v>68.781883335770132</c:v>
                </c:pt>
                <c:pt idx="95">
                  <c:v>69.870206961768361</c:v>
                </c:pt>
                <c:pt idx="96">
                  <c:v>70.916568536626244</c:v>
                </c:pt>
                <c:pt idx="97">
                  <c:v>71.917786269031254</c:v>
                </c:pt>
                <c:pt idx="98">
                  <c:v>72.871514695174241</c:v>
                </c:pt>
                <c:pt idx="99">
                  <c:v>73.776145429953786</c:v>
                </c:pt>
                <c:pt idx="100">
                  <c:v>74.630705807522858</c:v>
                </c:pt>
                <c:pt idx="101">
                  <c:v>75.434759511448419</c:v>
                </c:pt>
                <c:pt idx="102">
                  <c:v>76.188312217486342</c:v>
                </c:pt>
                <c:pt idx="103">
                  <c:v>76.891724285521803</c:v>
                </c:pt>
                <c:pt idx="104">
                  <c:v>77.545631693502955</c:v>
                </c:pt>
                <c:pt idx="105">
                  <c:v>78.150875726335144</c:v>
                </c:pt>
                <c:pt idx="106">
                  <c:v>78.708441415673647</c:v>
                </c:pt>
                <c:pt idx="107">
                  <c:v>79.219404357257048</c:v>
                </c:pt>
                <c:pt idx="108">
                  <c:v>79.684885288476053</c:v>
                </c:pt>
                <c:pt idx="109">
                  <c:v>80.106011665515979</c:v>
                </c:pt>
                <c:pt idx="110">
                  <c:v>80.483885412770377</c:v>
                </c:pt>
                <c:pt idx="111">
                  <c:v>80.819556006181742</c:v>
                </c:pt>
                <c:pt idx="112">
                  <c:v>81.113998079147265</c:v>
                </c:pt>
                <c:pt idx="113">
                  <c:v>81.368092790824335</c:v>
                </c:pt>
                <c:pt idx="114">
                  <c:v>81.582612261698031</c:v>
                </c:pt>
                <c:pt idx="115">
                  <c:v>81.758206452832169</c:v>
                </c:pt>
                <c:pt idx="116">
                  <c:v>81.895391938500921</c:v>
                </c:pt>
                <c:pt idx="117">
                  <c:v>81.994542094167073</c:v>
                </c:pt>
                <c:pt idx="118">
                  <c:v>82.055878291902118</c:v>
                </c:pt>
                <c:pt idx="119">
                  <c:v>82.079461763500561</c:v>
                </c:pt>
                <c:pt idx="120">
                  <c:v>82.06518585886792</c:v>
                </c:pt>
                <c:pt idx="121">
                  <c:v>82.012768495621714</c:v>
                </c:pt>
                <c:pt idx="122">
                  <c:v>81.921744667573449</c:v>
                </c:pt>
                <c:pt idx="123">
                  <c:v>81.791458957360277</c:v>
                </c:pt>
                <c:pt idx="124">
                  <c:v>81.621058084231223</c:v>
                </c:pt>
                <c:pt idx="125">
                  <c:v>81.409483613399189</c:v>
                </c:pt>
                <c:pt idx="126">
                  <c:v>81.155465058526275</c:v>
                </c:pt>
                <c:pt idx="127">
                  <c:v>80.857513721678799</c:v>
                </c:pt>
                <c:pt idx="128">
                  <c:v>80.513917730226225</c:v>
                </c:pt>
                <c:pt idx="129">
                  <c:v>80.122738838609322</c:v>
                </c:pt>
                <c:pt idx="130">
                  <c:v>79.681811651568154</c:v>
                </c:pt>
                <c:pt idx="131">
                  <c:v>79.188745977754166</c:v>
                </c:pt>
                <c:pt idx="132">
                  <c:v>78.640933020564688</c:v>
                </c:pt>
                <c:pt idx="133">
                  <c:v>78.035556040455546</c:v>
                </c:pt>
                <c:pt idx="134">
                  <c:v>77.369605970765448</c:v>
                </c:pt>
                <c:pt idx="135">
                  <c:v>76.639902240753287</c:v>
                </c:pt>
                <c:pt idx="136">
                  <c:v>75.84311877617975</c:v>
                </c:pt>
                <c:pt idx="137">
                  <c:v>74.975814849763523</c:v>
                </c:pt>
                <c:pt idx="138">
                  <c:v>74.034470197521003</c:v>
                </c:pt>
                <c:pt idx="139">
                  <c:v>73.015523664632511</c:v>
                </c:pt>
                <c:pt idx="140">
                  <c:v>71.915414648581674</c:v>
                </c:pt>
                <c:pt idx="141">
                  <c:v>70.730626792760177</c:v>
                </c:pt>
                <c:pt idx="142">
                  <c:v>69.457733733178458</c:v>
                </c:pt>
                <c:pt idx="143">
                  <c:v>68.093447149284259</c:v>
                </c:pt>
                <c:pt idx="144">
                  <c:v>66.634667811750205</c:v>
                </c:pt>
                <c:pt idx="145">
                  <c:v>65.078540629262648</c:v>
                </c:pt>
                <c:pt idx="146">
                  <c:v>63.422514752803629</c:v>
                </c:pt>
                <c:pt idx="147">
                  <c:v>61.6644095127768</c:v>
                </c:pt>
                <c:pt idx="148">
                  <c:v>59.802486307599892</c:v>
                </c:pt>
                <c:pt idx="149">
                  <c:v>57.835525560412307</c:v>
                </c:pt>
                <c:pt idx="150">
                  <c:v>55.762906602604012</c:v>
                </c:pt>
                <c:pt idx="151">
                  <c:v>53.584686970866073</c:v>
                </c:pt>
                <c:pt idx="152">
                  <c:v>51.301676300157723</c:v>
                </c:pt>
                <c:pt idx="153">
                  <c:v>48.915498964914278</c:v>
                </c:pt>
                <c:pt idx="154">
                  <c:v>46.428639077267093</c:v>
                </c:pt>
                <c:pt idx="155">
                  <c:v>43.844461586779261</c:v>
                </c:pt>
                <c:pt idx="156">
                  <c:v>41.167204181493304</c:v>
                </c:pt>
                <c:pt idx="157">
                  <c:v>38.40193651459478</c:v>
                </c:pt>
                <c:pt idx="158">
                  <c:v>35.55448589789485</c:v>
                </c:pt>
                <c:pt idx="159">
                  <c:v>32.631331788062582</c:v>
                </c:pt>
                <c:pt idx="160">
                  <c:v>29.639474777991339</c:v>
                </c:pt>
                <c:pt idx="161">
                  <c:v>26.586288927614163</c:v>
                </c:pt>
                <c:pt idx="162">
                  <c:v>23.479368634608676</c:v>
                </c:pt>
                <c:pt idx="163">
                  <c:v>20.326382433375471</c:v>
                </c:pt>
                <c:pt idx="164">
                  <c:v>17.134945856676055</c:v>
                </c:pt>
                <c:pt idx="165">
                  <c:v>13.912523752738238</c:v>
                </c:pt>
                <c:pt idx="166">
                  <c:v>10.666369406710658</c:v>
                </c:pt>
                <c:pt idx="167">
                  <c:v>7.403503848039847</c:v>
                </c:pt>
                <c:pt idx="168">
                  <c:v>4.1307343341323701</c:v>
                </c:pt>
                <c:pt idx="169">
                  <c:v>0.85470671859380332</c:v>
                </c:pt>
                <c:pt idx="170">
                  <c:v>-2.4180172713299442</c:v>
                </c:pt>
                <c:pt idx="171">
                  <c:v>-5.6808695167371184</c:v>
                </c:pt>
                <c:pt idx="172">
                  <c:v>-8.92718485211293</c:v>
                </c:pt>
                <c:pt idx="173">
                  <c:v>-12.150123417961382</c:v>
                </c:pt>
                <c:pt idx="174">
                  <c:v>-15.34261780848027</c:v>
                </c:pt>
                <c:pt idx="175">
                  <c:v>-18.497354174582128</c:v>
                </c:pt>
                <c:pt idx="176">
                  <c:v>-21.606792805351461</c:v>
                </c:pt>
                <c:pt idx="177">
                  <c:v>-24.663229448476557</c:v>
                </c:pt>
                <c:pt idx="178">
                  <c:v>-27.658894226231965</c:v>
                </c:pt>
                <c:pt idx="179">
                  <c:v>-30.586080989199559</c:v>
                </c:pt>
                <c:pt idx="180">
                  <c:v>-33.43729682703912</c:v>
                </c:pt>
                <c:pt idx="181">
                  <c:v>-36.205419610244746</c:v>
                </c:pt>
                <c:pt idx="182">
                  <c:v>-38.883851065037902</c:v>
                </c:pt>
                <c:pt idx="183">
                  <c:v>-41.466653952400648</c:v>
                </c:pt>
                <c:pt idx="184">
                  <c:v>-43.948664180727903</c:v>
                </c:pt>
                <c:pt idx="185">
                  <c:v>-46.325571718625852</c:v>
                </c:pt>
                <c:pt idx="186">
                  <c:v>-48.593967508586204</c:v>
                </c:pt>
                <c:pt idx="187">
                  <c:v>-50.751356756434774</c:v>
                </c:pt>
                <c:pt idx="188">
                  <c:v>-52.796141629157958</c:v>
                </c:pt>
                <c:pt idx="189">
                  <c:v>-54.727578320955985</c:v>
                </c:pt>
                <c:pt idx="190">
                  <c:v>-56.545714577806777</c:v>
                </c:pt>
                <c:pt idx="191">
                  <c:v>-58.251314160701469</c:v>
                </c:pt>
                <c:pt idx="192">
                  <c:v>-59.845774514866378</c:v>
                </c:pt>
                <c:pt idx="193">
                  <c:v>-61.331043271685644</c:v>
                </c:pt>
                <c:pt idx="194">
                  <c:v>-62.709538316416285</c:v>
                </c:pt>
                <c:pt idx="195">
                  <c:v>-63.984075156899124</c:v>
                </c:pt>
                <c:pt idx="196">
                  <c:v>-65.157804336029272</c:v>
                </c:pt>
                <c:pt idx="197">
                  <c:v>-66.234160711390771</c:v>
                </c:pt>
                <c:pt idx="198">
                  <c:v>-67.216825608857036</c:v>
                </c:pt>
                <c:pt idx="199">
                  <c:v>-68.109702142472713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003304"/>
        <c:axId val="195003696"/>
      </c:scatterChart>
      <c:valAx>
        <c:axId val="195003304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003696"/>
        <c:crosses val="autoZero"/>
        <c:crossBetween val="midCat"/>
      </c:valAx>
      <c:valAx>
        <c:axId val="19500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0033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|Vloop</a:t>
            </a:r>
            <a:r>
              <a:rPr lang="en-US" baseline="0"/>
              <a:t>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Compensation'!$AS$1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'9.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</c:numCache>
            </c:numRef>
          </c:xVal>
          <c:yVal>
            <c:numRef>
              <c:f>'9. Loop Compensation'!$AS$2:$AS$200</c:f>
              <c:numCache>
                <c:formatCode>General</c:formatCode>
                <c:ptCount val="199"/>
                <c:pt idx="0">
                  <c:v>67.727678291826052</c:v>
                </c:pt>
                <c:pt idx="1">
                  <c:v>67.722188823948215</c:v>
                </c:pt>
                <c:pt idx="2">
                  <c:v>67.71589416133375</c:v>
                </c:pt>
                <c:pt idx="3">
                  <c:v>67.708677555918968</c:v>
                </c:pt>
                <c:pt idx="4">
                  <c:v>67.700405757488625</c:v>
                </c:pt>
                <c:pt idx="5">
                  <c:v>67.690926813974187</c:v>
                </c:pt>
                <c:pt idx="6">
                  <c:v>67.680067620034066</c:v>
                </c:pt>
                <c:pt idx="7">
                  <c:v>67.667631198332799</c:v>
                </c:pt>
                <c:pt idx="8">
                  <c:v>67.653393701619109</c:v>
                </c:pt>
                <c:pt idx="9">
                  <c:v>67.637101129405451</c:v>
                </c:pt>
                <c:pt idx="10">
                  <c:v>67.618465761347238</c:v>
                </c:pt>
                <c:pt idx="11">
                  <c:v>67.597162320971137</c:v>
                </c:pt>
                <c:pt idx="12">
                  <c:v>67.572823898946979</c:v>
                </c:pt>
                <c:pt idx="13">
                  <c:v>67.545037685409994</c:v>
                </c:pt>
                <c:pt idx="14">
                  <c:v>67.513340586665493</c:v>
                </c:pt>
                <c:pt idx="15">
                  <c:v>67.477214833563067</c:v>
                </c:pt>
                <c:pt idx="16">
                  <c:v>67.436083727221117</c:v>
                </c:pt>
                <c:pt idx="17">
                  <c:v>67.389307712427666</c:v>
                </c:pt>
                <c:pt idx="18">
                  <c:v>67.336181018927618</c:v>
                </c:pt>
                <c:pt idx="19">
                  <c:v>67.275929163772872</c:v>
                </c:pt>
                <c:pt idx="20">
                  <c:v>67.207707660254528</c:v>
                </c:pt>
                <c:pt idx="21">
                  <c:v>67.130602325054653</c:v>
                </c:pt>
                <c:pt idx="22">
                  <c:v>67.043631607405317</c:v>
                </c:pt>
                <c:pt idx="23">
                  <c:v>66.945751372392806</c:v>
                </c:pt>
                <c:pt idx="24">
                  <c:v>66.835862543652453</c:v>
                </c:pt>
                <c:pt idx="25">
                  <c:v>66.712821936665804</c:v>
                </c:pt>
                <c:pt idx="26">
                  <c:v>66.575456482274788</c:v>
                </c:pt>
                <c:pt idx="27">
                  <c:v>66.422580844641089</c:v>
                </c:pt>
                <c:pt idx="28">
                  <c:v>66.253018179944263</c:v>
                </c:pt>
                <c:pt idx="29">
                  <c:v>66.065623473516354</c:v>
                </c:pt>
                <c:pt idx="30">
                  <c:v>65.859308558585383</c:v>
                </c:pt>
                <c:pt idx="31">
                  <c:v>65.633067596917769</c:v>
                </c:pt>
                <c:pt idx="32">
                  <c:v>65.386001537654892</c:v>
                </c:pt>
                <c:pt idx="33">
                  <c:v>65.117339915651229</c:v>
                </c:pt>
                <c:pt idx="34">
                  <c:v>64.826458347903156</c:v>
                </c:pt>
                <c:pt idx="35">
                  <c:v>64.512890261894015</c:v>
                </c:pt>
                <c:pt idx="36">
                  <c:v>64.176331742207566</c:v>
                </c:pt>
                <c:pt idx="37">
                  <c:v>63.816638880796503</c:v>
                </c:pt>
                <c:pt idx="38">
                  <c:v>63.433817604205387</c:v>
                </c:pt>
                <c:pt idx="39">
                  <c:v>63.028006553520207</c:v>
                </c:pt>
                <c:pt idx="40">
                  <c:v>62.599454133600474</c:v>
                </c:pt>
                <c:pt idx="41">
                  <c:v>62.148491264227076</c:v>
                </c:pt>
                <c:pt idx="42">
                  <c:v>61.67550161885697</c:v>
                </c:pt>
                <c:pt idx="43">
                  <c:v>61.180891217863305</c:v>
                </c:pt>
                <c:pt idx="44">
                  <c:v>60.665059170579468</c:v>
                </c:pt>
                <c:pt idx="45">
                  <c:v>60.128371171023296</c:v>
                </c:pt>
                <c:pt idx="46">
                  <c:v>59.571137090555197</c:v>
                </c:pt>
                <c:pt idx="47">
                  <c:v>58.993593718885521</c:v>
                </c:pt>
                <c:pt idx="48">
                  <c:v>58.395893414298214</c:v>
                </c:pt>
                <c:pt idx="49">
                  <c:v>57.77809915183559</c:v>
                </c:pt>
                <c:pt idx="50">
                  <c:v>57.140186207326991</c:v>
                </c:pt>
                <c:pt idx="51">
                  <c:v>56.482050477224178</c:v>
                </c:pt>
                <c:pt idx="52">
                  <c:v>55.803523195074369</c:v>
                </c:pt>
                <c:pt idx="53">
                  <c:v>55.104391551349877</c:v>
                </c:pt>
                <c:pt idx="54">
                  <c:v>54.384424447118398</c:v>
                </c:pt>
                <c:pt idx="55">
                  <c:v>53.643402318174402</c:v>
                </c:pt>
                <c:pt idx="56">
                  <c:v>52.8811496737233</c:v>
                </c:pt>
                <c:pt idx="57">
                  <c:v>52.097568735448462</c:v>
                </c:pt>
                <c:pt idx="58">
                  <c:v>51.292672381270521</c:v>
                </c:pt>
                <c:pt idx="59">
                  <c:v>50.466614537099531</c:v>
                </c:pt>
                <c:pt idx="60">
                  <c:v>49.619716253676714</c:v>
                </c:pt>
                <c:pt idx="61">
                  <c:v>48.752485968301677</c:v>
                </c:pt>
                <c:pt idx="62">
                  <c:v>47.86563286915468</c:v>
                </c:pt>
                <c:pt idx="63">
                  <c:v>46.960072810104691</c:v>
                </c:pt>
                <c:pt idx="64">
                  <c:v>46.036926799965435</c:v>
                </c:pt>
                <c:pt idx="65">
                  <c:v>45.09751263468155</c:v>
                </c:pt>
                <c:pt idx="66">
                  <c:v>44.143330680874868</c:v>
                </c:pt>
                <c:pt idx="67">
                  <c:v>43.176045100633914</c:v>
                </c:pt>
                <c:pt idx="68">
                  <c:v>42.197461905084992</c:v>
                </c:pt>
                <c:pt idx="69">
                  <c:v>41.209505144166656</c:v>
                </c:pt>
                <c:pt idx="70">
                  <c:v>40.214192315184931</c:v>
                </c:pt>
                <c:pt idx="71">
                  <c:v>39.213609754395726</c:v>
                </c:pt>
                <c:pt idx="72">
                  <c:v>38.209888422811041</c:v>
                </c:pt>
                <c:pt idx="73">
                  <c:v>37.205180166424299</c:v>
                </c:pt>
                <c:pt idx="74">
                  <c:v>36.201634269814967</c:v>
                </c:pt>
                <c:pt idx="75">
                  <c:v>35.201373965173801</c:v>
                </c:pt>
                <c:pt idx="76">
                  <c:v>34.206472525743955</c:v>
                </c:pt>
                <c:pt idx="77">
                  <c:v>33.218928667466884</c:v>
                </c:pt>
                <c:pt idx="78">
                  <c:v>32.240641193558019</c:v>
                </c:pt>
                <c:pt idx="79">
                  <c:v>31.273383116776099</c:v>
                </c:pt>
                <c:pt idx="80">
                  <c:v>30.318775841933331</c:v>
                </c:pt>
                <c:pt idx="81">
                  <c:v>29.378264334036984</c:v>
                </c:pt>
                <c:pt idx="82">
                  <c:v>28.453094476803177</c:v>
                </c:pt>
                <c:pt idx="83">
                  <c:v>27.544293986257514</c:v>
                </c:pt>
                <c:pt idx="84">
                  <c:v>26.652658241816177</c:v>
                </c:pt>
                <c:pt idx="85">
                  <c:v>25.778742212879312</c:v>
                </c:pt>
                <c:pt idx="86">
                  <c:v>24.922859302834379</c:v>
                </c:pt>
                <c:pt idx="87">
                  <c:v>24.085087445693887</c:v>
                </c:pt>
                <c:pt idx="88">
                  <c:v>23.26528223929455</c:v>
                </c:pt>
                <c:pt idx="89">
                  <c:v>22.463096361057787</c:v>
                </c:pt>
                <c:pt idx="90">
                  <c:v>21.678004062112571</c:v>
                </c:pt>
                <c:pt idx="91">
                  <c:v>20.909329229286207</c:v>
                </c:pt>
                <c:pt idx="92">
                  <c:v>20.156275370491223</c:v>
                </c:pt>
                <c:pt idx="93">
                  <c:v>19.417955915686502</c:v>
                </c:pt>
                <c:pt idx="94">
                  <c:v>18.693423405528392</c:v>
                </c:pt>
                <c:pt idx="95">
                  <c:v>17.981696419311849</c:v>
                </c:pt>
                <c:pt idx="96">
                  <c:v>17.281783423377448</c:v>
                </c:pt>
                <c:pt idx="97">
                  <c:v>16.592703055180323</c:v>
                </c:pt>
                <c:pt idx="98">
                  <c:v>15.913500661148253</c:v>
                </c:pt>
                <c:pt idx="99">
                  <c:v>15.243261155668407</c:v>
                </c:pt>
                <c:pt idx="100">
                  <c:v>14.58111845396178</c:v>
                </c:pt>
                <c:pt idx="101">
                  <c:v>13.926261853358515</c:v>
                </c:pt>
                <c:pt idx="102">
                  <c:v>13.277939802683729</c:v>
                </c:pt>
                <c:pt idx="103">
                  <c:v>12.635461518952306</c:v>
                </c:pt>
                <c:pt idx="104">
                  <c:v>11.998196896389544</c:v>
                </c:pt>
                <c:pt idx="105">
                  <c:v>11.365575116251508</c:v>
                </c:pt>
                <c:pt idx="106">
                  <c:v>10.737082316652319</c:v>
                </c:pt>
                <c:pt idx="107">
                  <c:v>10.112258627075256</c:v>
                </c:pt>
                <c:pt idx="108">
                  <c:v>9.4906948178005273</c:v>
                </c:pt>
                <c:pt idx="109">
                  <c:v>8.8720287635968305</c:v>
                </c:pt>
                <c:pt idx="110">
                  <c:v>8.2559418756702883</c:v>
                </c:pt>
                <c:pt idx="111">
                  <c:v>7.6421556168928708</c:v>
                </c:pt>
                <c:pt idx="112">
                  <c:v>7.0304281828303168</c:v>
                </c:pt>
                <c:pt idx="113">
                  <c:v>6.4205514046406176</c:v>
                </c:pt>
                <c:pt idx="114">
                  <c:v>5.812347908850283</c:v>
                </c:pt>
                <c:pt idx="115">
                  <c:v>5.2056685525088042</c:v>
                </c:pt>
                <c:pt idx="116">
                  <c:v>4.6003901394759037</c:v>
                </c:pt>
                <c:pt idx="117">
                  <c:v>3.9964134138233987</c:v>
                </c:pt>
                <c:pt idx="118">
                  <c:v>3.3936613188534048</c:v>
                </c:pt>
                <c:pt idx="119">
                  <c:v>2.7920775045001864</c:v>
                </c:pt>
                <c:pt idx="120">
                  <c:v>2.1916250614460235</c:v>
                </c:pt>
                <c:pt idx="121">
                  <c:v>1.5922854568870681</c:v>
                </c:pt>
                <c:pt idx="122">
                  <c:v>0.99405764442599232</c:v>
                </c:pt>
                <c:pt idx="123">
                  <c:v>0.39695731912688537</c:v>
                </c:pt>
                <c:pt idx="124">
                  <c:v>-0.19898371135407444</c:v>
                </c:pt>
                <c:pt idx="125">
                  <c:v>-0.79371806694329905</c:v>
                </c:pt>
                <c:pt idx="126">
                  <c:v>-1.3871832697850621</c:v>
                </c:pt>
                <c:pt idx="127">
                  <c:v>-1.9793021689024757</c:v>
                </c:pt>
                <c:pt idx="128">
                  <c:v>-2.5699833186521275</c:v>
                </c:pt>
                <c:pt idx="129">
                  <c:v>-3.1591212980901648</c:v>
                </c:pt>
                <c:pt idx="130">
                  <c:v>-3.7465969367123408</c:v>
                </c:pt>
                <c:pt idx="131">
                  <c:v>-4.332277386098788</c:v>
                </c:pt>
                <c:pt idx="132">
                  <c:v>-4.9160159487722597</c:v>
                </c:pt>
                <c:pt idx="133">
                  <c:v>-5.4976515486119792</c:v>
                </c:pt>
                <c:pt idx="134">
                  <c:v>-6.0770077066200505</c:v>
                </c:pt>
                <c:pt idx="135">
                  <c:v>-6.6538908780978865</c:v>
                </c:pt>
                <c:pt idx="136">
                  <c:v>-7.2280880190782213</c:v>
                </c:pt>
                <c:pt idx="137">
                  <c:v>-7.7993632867797595</c:v>
                </c:pt>
                <c:pt idx="138">
                  <c:v>-8.3674538436831547</c:v>
                </c:pt>
                <c:pt idx="139">
                  <c:v>-8.9320648259951678</c:v>
                </c:pt>
                <c:pt idx="140">
                  <c:v>-9.4928636480592878</c:v>
                </c:pt>
                <c:pt idx="141">
                  <c:v>-10.049473933387375</c:v>
                </c:pt>
                <c:pt idx="142">
                  <c:v>-10.601469476427578</c:v>
                </c:pt>
                <c:pt idx="143">
                  <c:v>-11.148368733228196</c:v>
                </c:pt>
                <c:pt idx="144">
                  <c:v>-11.689630403351075</c:v>
                </c:pt>
                <c:pt idx="145">
                  <c:v>-12.22465069463323</c:v>
                </c:pt>
                <c:pt idx="146">
                  <c:v>-12.752762857107847</c:v>
                </c:pt>
                <c:pt idx="147">
                  <c:v>-13.273239536817982</c:v>
                </c:pt>
                <c:pt idx="148">
                  <c:v>-13.785298439343205</c:v>
                </c:pt>
                <c:pt idx="149">
                  <c:v>-14.288111709107271</c:v>
                </c:pt>
                <c:pt idx="150">
                  <c:v>-14.780819321907934</c:v>
                </c:pt>
                <c:pt idx="151">
                  <c:v>-15.26254664802808</c:v>
                </c:pt>
                <c:pt idx="152">
                  <c:v>-15.732426162886149</c:v>
                </c:pt>
                <c:pt idx="153">
                  <c:v>-16.189623054427219</c:v>
                </c:pt>
                <c:pt idx="154">
                  <c:v>-16.633364201099901</c:v>
                </c:pt>
                <c:pt idx="155">
                  <c:v>-17.062969682310367</c:v>
                </c:pt>
                <c:pt idx="156">
                  <c:v>-17.477885659461794</c:v>
                </c:pt>
                <c:pt idx="157">
                  <c:v>-17.877717167902837</c:v>
                </c:pt>
                <c:pt idx="158">
                  <c:v>-18.2622591344957</c:v>
                </c:pt>
                <c:pt idx="159">
                  <c:v>-18.631523828208035</c:v>
                </c:pt>
                <c:pt idx="160">
                  <c:v>-18.985762997513422</c:v>
                </c:pt>
                <c:pt idx="161">
                  <c:v>-19.325483162807885</c:v>
                </c:pt>
                <c:pt idx="162">
                  <c:v>-19.651452901191284</c:v>
                </c:pt>
                <c:pt idx="163">
                  <c:v>-19.96470144347045</c:v>
                </c:pt>
                <c:pt idx="164">
                  <c:v>-20.266508436843328</c:v>
                </c:pt>
                <c:pt idx="165">
                  <c:v>-20.55838524128178</c:v>
                </c:pt>
                <c:pt idx="166">
                  <c:v>-20.842048560818306</c:v>
                </c:pt>
                <c:pt idx="167">
                  <c:v>-21.119387521912984</c:v>
                </c:pt>
                <c:pt idx="168">
                  <c:v>-21.392425488161884</c:v>
                </c:pt>
                <c:pt idx="169">
                  <c:v>-21.663277961111767</c:v>
                </c:pt>
                <c:pt idx="170">
                  <c:v>-21.934107899404673</c:v>
                </c:pt>
                <c:pt idx="171">
                  <c:v>-22.207079739976457</c:v>
                </c:pt>
                <c:pt idx="172">
                  <c:v>-22.484313367206191</c:v>
                </c:pt>
                <c:pt idx="173">
                  <c:v>-22.767839273234724</c:v>
                </c:pt>
                <c:pt idx="174">
                  <c:v>-23.059556185746796</c:v>
                </c:pt>
                <c:pt idx="175">
                  <c:v>-23.361192484933596</c:v>
                </c:pt>
                <c:pt idx="176">
                  <c:v>-23.674272748086075</c:v>
                </c:pt>
                <c:pt idx="177">
                  <c:v>-24.000090701150665</c:v>
                </c:pt>
                <c:pt idx="178">
                  <c:v>-24.339689682349857</c:v>
                </c:pt>
                <c:pt idx="179">
                  <c:v>-24.693851415128155</c:v>
                </c:pt>
                <c:pt idx="180">
                  <c:v>-25.063093456573164</c:v>
                </c:pt>
                <c:pt idx="181">
                  <c:v>-25.447675172977242</c:v>
                </c:pt>
                <c:pt idx="182">
                  <c:v>-25.847611558486673</c:v>
                </c:pt>
                <c:pt idx="183">
                  <c:v>-26.262693726741553</c:v>
                </c:pt>
                <c:pt idx="184">
                  <c:v>-26.692514533130598</c:v>
                </c:pt>
                <c:pt idx="185">
                  <c:v>-27.136497570494718</c:v>
                </c:pt>
                <c:pt idx="186">
                  <c:v>-27.593927739748203</c:v>
                </c:pt>
                <c:pt idx="187">
                  <c:v>-28.063981716626934</c:v>
                </c:pt>
                <c:pt idx="188">
                  <c:v>-28.545756882278454</c:v>
                </c:pt>
                <c:pt idx="189">
                  <c:v>-29.038297611948153</c:v>
                </c:pt>
                <c:pt idx="190">
                  <c:v>-29.540618174030485</c:v>
                </c:pt>
                <c:pt idx="191">
                  <c:v>-30.05172183912439</c:v>
                </c:pt>
                <c:pt idx="192">
                  <c:v>-30.570616104959615</c:v>
                </c:pt>
                <c:pt idx="193">
                  <c:v>-31.096324190746373</c:v>
                </c:pt>
                <c:pt idx="194">
                  <c:v>-31.627893138197422</c:v>
                </c:pt>
                <c:pt idx="195">
                  <c:v>-32.164398979819765</c:v>
                </c:pt>
                <c:pt idx="196">
                  <c:v>-32.704949507442493</c:v>
                </c:pt>
                <c:pt idx="197">
                  <c:v>-33.248685207263918</c:v>
                </c:pt>
                <c:pt idx="198">
                  <c:v>-33.794778933908255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004480"/>
        <c:axId val="195004872"/>
      </c:scatterChart>
      <c:valAx>
        <c:axId val="195004480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004872"/>
        <c:crosses val="autoZero"/>
        <c:crossBetween val="midCat"/>
      </c:valAx>
      <c:valAx>
        <c:axId val="195004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004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$F$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</xdr:row>
      <xdr:rowOff>38100</xdr:rowOff>
    </xdr:from>
    <xdr:to>
      <xdr:col>0</xdr:col>
      <xdr:colOff>7400925</xdr:colOff>
      <xdr:row>4</xdr:row>
      <xdr:rowOff>2781300</xdr:rowOff>
    </xdr:to>
    <xdr:pic>
      <xdr:nvPicPr>
        <xdr:cNvPr id="2" name="Picture 1" descr="ONHoriz-2DGreen-Lg.tif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609600"/>
          <a:ext cx="7315200" cy="274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95250</xdr:rowOff>
        </xdr:from>
        <xdr:to>
          <xdr:col>7</xdr:col>
          <xdr:colOff>47625</xdr:colOff>
          <xdr:row>2</xdr:row>
          <xdr:rowOff>123825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Upper Feedback Resistor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9525</xdr:rowOff>
        </xdr:from>
        <xdr:to>
          <xdr:col>7</xdr:col>
          <xdr:colOff>47625</xdr:colOff>
          <xdr:row>4</xdr:row>
          <xdr:rowOff>38100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Lower Feedback Resistor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145676</xdr:rowOff>
    </xdr:from>
    <xdr:to>
      <xdr:col>4</xdr:col>
      <xdr:colOff>717178</xdr:colOff>
      <xdr:row>40</xdr:row>
      <xdr:rowOff>33617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33617</xdr:colOff>
      <xdr:row>10</xdr:row>
      <xdr:rowOff>156882</xdr:rowOff>
    </xdr:from>
    <xdr:to>
      <xdr:col>4</xdr:col>
      <xdr:colOff>750794</xdr:colOff>
      <xdr:row>25</xdr:row>
      <xdr:rowOff>44823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829238</xdr:colOff>
      <xdr:row>25</xdr:row>
      <xdr:rowOff>145676</xdr:rowOff>
    </xdr:from>
    <xdr:to>
      <xdr:col>9</xdr:col>
      <xdr:colOff>11211</xdr:colOff>
      <xdr:row>40</xdr:row>
      <xdr:rowOff>33617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862855</xdr:colOff>
      <xdr:row>10</xdr:row>
      <xdr:rowOff>156882</xdr:rowOff>
    </xdr:from>
    <xdr:to>
      <xdr:col>9</xdr:col>
      <xdr:colOff>44827</xdr:colOff>
      <xdr:row>25</xdr:row>
      <xdr:rowOff>44823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145679</xdr:colOff>
      <xdr:row>25</xdr:row>
      <xdr:rowOff>145677</xdr:rowOff>
    </xdr:from>
    <xdr:to>
      <xdr:col>15</xdr:col>
      <xdr:colOff>481853</xdr:colOff>
      <xdr:row>40</xdr:row>
      <xdr:rowOff>33618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179296</xdr:colOff>
      <xdr:row>10</xdr:row>
      <xdr:rowOff>156883</xdr:rowOff>
    </xdr:from>
    <xdr:to>
      <xdr:col>15</xdr:col>
      <xdr:colOff>481853</xdr:colOff>
      <xdr:row>25</xdr:row>
      <xdr:rowOff>44824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workbookViewId="0">
      <selection activeCell="A3" sqref="A3"/>
    </sheetView>
  </sheetViews>
  <sheetFormatPr defaultRowHeight="15" x14ac:dyDescent="0.25"/>
  <cols>
    <col min="1" max="1" width="111.42578125" customWidth="1"/>
  </cols>
  <sheetData>
    <row r="1" spans="1:1" x14ac:dyDescent="0.25">
      <c r="A1" s="7" t="s">
        <v>133</v>
      </c>
    </row>
    <row r="2" spans="1:1" x14ac:dyDescent="0.25">
      <c r="A2" s="7" t="s">
        <v>134</v>
      </c>
    </row>
    <row r="3" spans="1:1" x14ac:dyDescent="0.25">
      <c r="A3" t="s">
        <v>132</v>
      </c>
    </row>
    <row r="4" spans="1:1" x14ac:dyDescent="0.25">
      <c r="A4" t="s">
        <v>114</v>
      </c>
    </row>
    <row r="5" spans="1:1" ht="276.75" customHeight="1" x14ac:dyDescent="0.25"/>
    <row r="6" spans="1:1" x14ac:dyDescent="0.25">
      <c r="A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</sheetData>
  <sheetProtection algorithmName="SHA-512" hashValue="3Y/aJn0aqCPfhQ/kwsC+Ry7B//BUxROq/sruDkorEYozUFKBy/6XSXaZj+hVHUeb7Jufa6k2t7sIV6mV3N2KZg==" saltValue="P0gUGjtUlU9UZ56CAZwUzA==" spinCount="100000" sheet="1" objects="1" scenarios="1" selectLockedCells="1"/>
  <customSheetViews>
    <customSheetView guid="{25ED444C-8CCE-464F-9E26-1EDA12EA830D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T202"/>
  <sheetViews>
    <sheetView zoomScale="85" zoomScaleNormal="85" workbookViewId="0">
      <selection activeCell="F2" sqref="F2"/>
    </sheetView>
  </sheetViews>
  <sheetFormatPr defaultRowHeight="15" x14ac:dyDescent="0.25"/>
  <cols>
    <col min="1" max="1" width="27.42578125" customWidth="1"/>
    <col min="2" max="2" width="12.28515625" bestFit="1" customWidth="1"/>
    <col min="5" max="5" width="44.5703125" customWidth="1"/>
    <col min="9" max="9" width="9.140625" style="5" customWidth="1"/>
    <col min="10" max="10" width="9.140625" style="5"/>
    <col min="11" max="11" width="12.28515625" style="5" bestFit="1" customWidth="1"/>
    <col min="12" max="12" width="12.28515625" style="5" customWidth="1"/>
    <col min="13" max="16" width="9.140625" style="5"/>
    <col min="17" max="17" width="15.7109375" style="5" customWidth="1"/>
    <col min="18" max="18" width="10.7109375" style="10" customWidth="1"/>
    <col min="19" max="46" width="0.140625" style="10" customWidth="1"/>
    <col min="47" max="47" width="10.7109375" customWidth="1"/>
    <col min="48" max="48" width="15.7109375" customWidth="1"/>
  </cols>
  <sheetData>
    <row r="1" spans="1:46" x14ac:dyDescent="0.25">
      <c r="A1" t="s">
        <v>104</v>
      </c>
      <c r="B1" s="2">
        <v>5000</v>
      </c>
      <c r="C1" t="s">
        <v>94</v>
      </c>
      <c r="E1" t="s">
        <v>91</v>
      </c>
      <c r="S1" s="10" t="s">
        <v>7</v>
      </c>
      <c r="T1" s="10">
        <f>'2. Design Parameters'!C3/'2. Design Parameters'!C4</f>
        <v>0.4</v>
      </c>
      <c r="V1" s="10" t="s">
        <v>10</v>
      </c>
      <c r="W1" s="10">
        <f>PI()/T2</f>
        <v>6283185.307179587</v>
      </c>
      <c r="Z1" s="10" t="s">
        <v>27</v>
      </c>
      <c r="AA1" s="10" t="s">
        <v>20</v>
      </c>
      <c r="AB1" s="10" t="s">
        <v>21</v>
      </c>
      <c r="AC1" s="10" t="s">
        <v>22</v>
      </c>
      <c r="AD1" s="10" t="s">
        <v>23</v>
      </c>
      <c r="AE1" s="10" t="s">
        <v>24</v>
      </c>
      <c r="AF1" s="10" t="s">
        <v>19</v>
      </c>
      <c r="AG1" s="10" t="s">
        <v>25</v>
      </c>
      <c r="AH1" s="10" t="s">
        <v>26</v>
      </c>
      <c r="AI1" s="11" t="s">
        <v>28</v>
      </c>
      <c r="AJ1" s="11" t="s">
        <v>29</v>
      </c>
      <c r="AK1" s="11" t="s">
        <v>98</v>
      </c>
      <c r="AL1" s="11" t="s">
        <v>99</v>
      </c>
      <c r="AM1" s="11" t="s">
        <v>100</v>
      </c>
      <c r="AN1" s="11" t="s">
        <v>101</v>
      </c>
      <c r="AO1" s="11" t="s">
        <v>103</v>
      </c>
      <c r="AP1" s="10" t="s">
        <v>26</v>
      </c>
      <c r="AQ1" s="11" t="s">
        <v>28</v>
      </c>
      <c r="AR1" s="11" t="s">
        <v>29</v>
      </c>
      <c r="AS1" s="11" t="s">
        <v>29</v>
      </c>
      <c r="AT1" s="11" t="s">
        <v>28</v>
      </c>
    </row>
    <row r="2" spans="1:46" x14ac:dyDescent="0.25">
      <c r="A2" t="s">
        <v>110</v>
      </c>
      <c r="B2" s="3">
        <f>INDEX(AJ2:AJ202,MATCH(B1,Z2:Z202,1))</f>
        <v>-6.6585963399249426</v>
      </c>
      <c r="E2" t="s">
        <v>92</v>
      </c>
      <c r="F2" s="2">
        <v>1</v>
      </c>
      <c r="G2" t="s">
        <v>94</v>
      </c>
      <c r="S2" s="10" t="s">
        <v>9</v>
      </c>
      <c r="T2" s="10">
        <f>1/('2. Design Parameters'!C6*1000)</f>
        <v>4.9999999999999998E-7</v>
      </c>
      <c r="U2" s="10" t="s">
        <v>20</v>
      </c>
      <c r="V2" s="10" t="s">
        <v>11</v>
      </c>
      <c r="W2" s="10">
        <f>1/(PI()*(T5*T1-0.5))</f>
        <v>0.20777407714346652</v>
      </c>
      <c r="Y2" s="10">
        <v>0</v>
      </c>
      <c r="Z2" s="10">
        <f>10^(LOG($F$3/$F$2,10)*Y2/200)</f>
        <v>1</v>
      </c>
      <c r="AA2" s="10" t="str">
        <f>IMPRODUCT(COMPLEX(0,1),2*PI()*Z2)</f>
        <v>6.28318530717959i</v>
      </c>
      <c r="AB2" s="10">
        <f>$T$6/'5. Current Sense Resistor'!$B$11</f>
        <v>200</v>
      </c>
      <c r="AC2" s="10">
        <f>1/(2*$T$3+$T$6*$T$2/('4. Boost Inductor'!$B$11*$T$3^2)*($T$5-0.5))</f>
        <v>0.16903313049357674</v>
      </c>
      <c r="AD2" s="10" t="str">
        <f>IMDIV(IMSUM(1,IMDIV(AA2,$W$3)),IMSUM(1,IMDIV(AA2,$W$5)))</f>
        <v>0.999758138142393-0.0155186434755865i</v>
      </c>
      <c r="AE2" s="10" t="str">
        <f>IMDIV(IMSUM(1,IMDIV(IMPRODUCT(-1,AA2),$W$4)),IMSUM(1,IMDIV(AA2,$W$1*$W$2),IMDIV(IMPOWER(AA2,2),$W$1^2)))</f>
        <v>0.999999999902235-0.0000205208832127986i</v>
      </c>
      <c r="AF2" s="10" t="str">
        <f>IMPRODUCT(AB$2,AC2,AD2,AE2)</f>
        <v>33.7984387960913-0.525326551523434i</v>
      </c>
      <c r="AG2" s="10">
        <f>IMABS(AF2)</f>
        <v>33.802521104776567</v>
      </c>
      <c r="AH2" s="10">
        <f t="shared" ref="AH2:AH56" si="0">IMARGUMENT(AF2)</f>
        <v>-1.5541672134444915E-2</v>
      </c>
      <c r="AI2" s="10">
        <f t="shared" ref="AI2:AI56" si="1">AH2/(PI())*180</f>
        <v>-0.89047221987977132</v>
      </c>
      <c r="AJ2" s="10">
        <f t="shared" ref="AJ2:AJ56" si="2">20*LOG(AG2,10)</f>
        <v>30.578981852334767</v>
      </c>
      <c r="AK2" s="10">
        <f>-Rlower/(Rlower+Rupper)*gm*R0</f>
        <v>-72.317491425771678</v>
      </c>
      <c r="AL2" s="10" t="str">
        <f t="shared" ref="AL2:AL65" si="3">IMDIV(IMSUM(1,IMDIV(AA2,wz1e)),IMSUM(1,IMDIV(AA2,wp1e)))</f>
        <v>0.991966546213552-0.0877973199925506i</v>
      </c>
      <c r="AM2" s="10" t="str">
        <f t="shared" ref="AM2:AM65" si="4">IMDIV(IMSUM(1,IMDIV(AA2,wz2e)),IMSUM(1,IMDIV(AA2,wp2e)))</f>
        <v>0.999999996316889-0.0000605319078425632i</v>
      </c>
      <c r="AN2" s="10" t="str">
        <f>IMPRODUCT($AK$2,AL2,AM2)</f>
        <v>-71.7361476020883+6.353624261538i</v>
      </c>
      <c r="AO2" s="10">
        <f>IMABS(AN2)</f>
        <v>72.016966154132064</v>
      </c>
      <c r="AP2" s="10">
        <f>IMARGUMENT(AN2)</f>
        <v>3.0532538104688998</v>
      </c>
      <c r="AQ2" s="10">
        <f>AP2/(PI())*180</f>
        <v>174.93855712210453</v>
      </c>
      <c r="AR2" s="10">
        <f>20*LOG(AO2,10)</f>
        <v>37.148696439491282</v>
      </c>
      <c r="AS2" s="10">
        <f>AR2+AJ2</f>
        <v>67.727678291826052</v>
      </c>
      <c r="AT2" s="10">
        <f>AQ2+AI2</f>
        <v>174.04808490222476</v>
      </c>
    </row>
    <row r="3" spans="1:46" x14ac:dyDescent="0.25">
      <c r="A3" t="s">
        <v>106</v>
      </c>
      <c r="B3" s="2">
        <v>10000</v>
      </c>
      <c r="C3" t="s">
        <v>94</v>
      </c>
      <c r="E3" t="s">
        <v>93</v>
      </c>
      <c r="F3" s="2">
        <v>1000000</v>
      </c>
      <c r="G3" t="s">
        <v>94</v>
      </c>
      <c r="S3" s="10" t="s">
        <v>15</v>
      </c>
      <c r="T3" s="10">
        <f>'2. Design Parameters'!C4/'2. Design Parameters'!C3</f>
        <v>2.5</v>
      </c>
      <c r="V3" s="10" t="s">
        <v>12</v>
      </c>
      <c r="W3" s="10">
        <f>1/('6. Output Capacitors'!C15*'6. Output Capacitors'!C14)</f>
        <v>99999.999999999985</v>
      </c>
      <c r="Y3" s="10">
        <v>1</v>
      </c>
      <c r="Z3" s="10">
        <f t="shared" ref="Z3:Z66" si="5">10^(LOG($F$3/$F$2,10)*Y3/200)</f>
        <v>1.0715193052376064</v>
      </c>
      <c r="AA3" s="10" t="str">
        <f t="shared" ref="AA3:AA66" si="6">IMPRODUCT(COMPLEX(0,1),2*PI()*Z3)</f>
        <v>6.73255435502821i</v>
      </c>
      <c r="AC3" s="10">
        <f>1/(2*$T$3+$T$6*$T$2/('4. Boost Inductor'!$B$11*$T$3^2)*($T$5-0.5))</f>
        <v>0.16903313049357674</v>
      </c>
      <c r="AD3" s="10" t="str">
        <f t="shared" ref="AD2:AD65" si="7">IMDIV(IMSUM(1,IMDIV(AA3,$W$3)),IMSUM(1,IMDIV(AA3,$W$5)))</f>
        <v>0.999722315422754-0.0166279278396886i</v>
      </c>
      <c r="AE3" s="10" t="str">
        <f t="shared" ref="AE2:AE65" si="8">IMDIV(IMSUM(1,IMDIV(IMPRODUCT(-1,AA3),$W$4)),IMSUM(1,IMDIV(AA3,$W$1*$W$2),IMDIV(IMPOWER(AA3,2),$W$1^2)))</f>
        <v>0.99999999988775-0.0000219885225229685i</v>
      </c>
      <c r="AF3" s="10" t="str">
        <f t="shared" ref="AF3:AF66" si="9">IMPRODUCT(AB$2,AC3,AD3,AE3)</f>
        <v>33.7972261557461-0.562877290550085i</v>
      </c>
      <c r="AG3" s="10">
        <f t="shared" ref="AG3:AG56" si="10">IMABS(AF3)</f>
        <v>33.80191306223459</v>
      </c>
      <c r="AH3" s="10">
        <f t="shared" si="0"/>
        <v>-1.6653001466940865E-2</v>
      </c>
      <c r="AI3" s="10">
        <f t="shared" si="1"/>
        <v>-0.95414670028088022</v>
      </c>
      <c r="AJ3" s="10">
        <f t="shared" si="2"/>
        <v>30.578825608429167</v>
      </c>
      <c r="AL3" s="10" t="str">
        <f t="shared" si="3"/>
        <v>0.990787692819667-0.0939609438129086i</v>
      </c>
      <c r="AM3" s="10" t="str">
        <f t="shared" si="4"/>
        <v>0.999999995771222-0.000064861107800594i</v>
      </c>
      <c r="AN3" s="10" t="str">
        <f t="shared" ref="AN3:AN66" si="11">IMPRODUCT($AK$2,AL3,AM3)</f>
        <v>-71.6508394447406+6.79966710124008i</v>
      </c>
      <c r="AO3" s="10">
        <f t="shared" ref="AO3:AO66" si="12">IMABS(AN3)</f>
        <v>71.972760582206945</v>
      </c>
      <c r="AP3" s="10">
        <f t="shared" ref="AP3:AP66" si="13">IMARGUMENT(AN3)</f>
        <v>3.04697598038479</v>
      </c>
      <c r="AQ3" s="10">
        <f t="shared" ref="AQ3:AQ66" si="14">AP3/(PI())*180</f>
        <v>174.57886395378478</v>
      </c>
      <c r="AR3" s="10">
        <f t="shared" ref="AR3:AR66" si="15">20*LOG(AO3,10)</f>
        <v>37.143363215519052</v>
      </c>
      <c r="AS3" s="10">
        <f t="shared" ref="AS3:AS66" si="16">AR3+AJ3</f>
        <v>67.722188823948215</v>
      </c>
      <c r="AT3" s="10">
        <f t="shared" ref="AT3:AT66" si="17">AQ3+AI3</f>
        <v>173.62471725350389</v>
      </c>
    </row>
    <row r="4" spans="1:46" x14ac:dyDescent="0.25">
      <c r="A4" t="s">
        <v>105</v>
      </c>
      <c r="B4" s="2">
        <v>100000</v>
      </c>
      <c r="C4" t="s">
        <v>94</v>
      </c>
      <c r="E4" t="str">
        <f>IF(OR(B1&lt;F2,(B1&gt;F3)),"Crossover frequency needs to be on the graph","")</f>
        <v/>
      </c>
      <c r="S4" s="10" t="s">
        <v>17</v>
      </c>
      <c r="T4" s="10">
        <f>'2. Design Parameters'!C3/'4. Boost Inductor'!B11</f>
        <v>2000000</v>
      </c>
      <c r="U4" s="10" t="s">
        <v>48</v>
      </c>
      <c r="V4" s="10" t="s">
        <v>13</v>
      </c>
      <c r="W4" s="10">
        <f>T6*T1^2/'4. Boost Inductor'!B11</f>
        <v>400000.00000000012</v>
      </c>
      <c r="Y4" s="10">
        <v>2</v>
      </c>
      <c r="Z4" s="10">
        <f t="shared" si="5"/>
        <v>1.1481536214968828</v>
      </c>
      <c r="AA4" s="10" t="str">
        <f t="shared" si="6"/>
        <v>7.21406196497425i</v>
      </c>
      <c r="AC4" s="10">
        <f>1/(2*$T$3+$T$6*$T$2/('4. Boost Inductor'!$B$11*$T$3^2)*($T$5-0.5))</f>
        <v>0.16903313049357674</v>
      </c>
      <c r="AD4" s="10" t="str">
        <f t="shared" si="7"/>
        <v>0.999681188615984-0.0178164097527456i</v>
      </c>
      <c r="AE4" s="10" t="str">
        <f t="shared" si="8"/>
        <v>0.99999999987112-0.0000235611263769247i</v>
      </c>
      <c r="AF4" s="10" t="str">
        <f t="shared" si="9"/>
        <v>33.7958339659386-0.603108971104498i</v>
      </c>
      <c r="AG4" s="10">
        <f t="shared" si="10"/>
        <v>33.801214976451895</v>
      </c>
      <c r="AH4" s="10">
        <f t="shared" si="0"/>
        <v>-1.7843766198805226E-2</v>
      </c>
      <c r="AI4" s="10">
        <f t="shared" si="1"/>
        <v>-1.0223724938097354</v>
      </c>
      <c r="AJ4" s="10">
        <f t="shared" si="2"/>
        <v>30.578646223355058</v>
      </c>
      <c r="AL4" s="10" t="str">
        <f t="shared" si="3"/>
        <v>0.989437755103684-0.100539146118623i</v>
      </c>
      <c r="AM4" s="10" t="str">
        <f t="shared" si="4"/>
        <v>0.999999995144714-0.000069499929123666i</v>
      </c>
      <c r="AN4" s="10" t="str">
        <f t="shared" si="11"/>
        <v>-71.5531507077981+7.27571177613273i</v>
      </c>
      <c r="AO4" s="10">
        <f t="shared" si="12"/>
        <v>71.922106184831819</v>
      </c>
      <c r="AP4" s="10">
        <f t="shared" si="13"/>
        <v>3.0402583205289599</v>
      </c>
      <c r="AQ4" s="10">
        <f t="shared" si="14"/>
        <v>174.19397039584126</v>
      </c>
      <c r="AR4" s="10">
        <f t="shared" si="15"/>
        <v>37.137247937978685</v>
      </c>
      <c r="AS4" s="10">
        <f t="shared" si="16"/>
        <v>67.71589416133375</v>
      </c>
      <c r="AT4" s="10">
        <f t="shared" si="17"/>
        <v>173.17159790203152</v>
      </c>
    </row>
    <row r="5" spans="1:46" x14ac:dyDescent="0.25">
      <c r="A5" t="s">
        <v>111</v>
      </c>
      <c r="B5" s="3">
        <f>-B2*B4/(B4-B3)*((Rlower+Rupper)/(gm*Rupper))*SQRT(1+(B1/B4)^2)/SQRT(1+(B3/B1)^2)</f>
        <v>2817.2742755924278</v>
      </c>
      <c r="C5" s="1" t="s">
        <v>43</v>
      </c>
      <c r="S5" s="10" t="s">
        <v>16</v>
      </c>
      <c r="T5" s="10">
        <f>1+(T7/T4)</f>
        <v>5.08</v>
      </c>
      <c r="V5" s="10" t="s">
        <v>14</v>
      </c>
      <c r="W5" s="10">
        <f>(2/T6+T2/('4. Boost Inductor'!B11*T3^3*(T5)))/'6. Output Capacitors'!C14</f>
        <v>403.14960629921256</v>
      </c>
      <c r="Y5" s="10">
        <v>3</v>
      </c>
      <c r="Z5" s="10">
        <f t="shared" si="5"/>
        <v>1.2302687708123814</v>
      </c>
      <c r="AA5" s="10" t="str">
        <f t="shared" si="6"/>
        <v>7.73000666465024i</v>
      </c>
      <c r="AC5" s="10">
        <f>1/(2*$T$3+$T$6*$T$2/('4. Boost Inductor'!$B$11*$T$3^2)*($T$5-0.5))</f>
        <v>0.16903313049357674</v>
      </c>
      <c r="AD5" s="10" t="str">
        <f t="shared" si="7"/>
        <v>0.999633972913428-0.0190897216843226i</v>
      </c>
      <c r="AE5" s="10" t="str">
        <f t="shared" si="8"/>
        <v>0.999999999852026-0.0000252462017659097i</v>
      </c>
      <c r="AF5" s="10" t="str">
        <f t="shared" si="9"/>
        <v>33.7942356599913-0.646212259718392i</v>
      </c>
      <c r="AG5" s="10">
        <f t="shared" si="10"/>
        <v>33.800413520068631</v>
      </c>
      <c r="AH5" s="10">
        <f t="shared" si="0"/>
        <v>-1.9119636883384968E-2</v>
      </c>
      <c r="AI5" s="10">
        <f t="shared" si="1"/>
        <v>-1.0954744992406216</v>
      </c>
      <c r="AJ5" s="10">
        <f t="shared" si="2"/>
        <v>30.578440270869894</v>
      </c>
      <c r="AL5" s="10" t="str">
        <f t="shared" si="3"/>
        <v>0.987892501584724-0.107555687460724i</v>
      </c>
      <c r="AM5" s="10" t="str">
        <f t="shared" si="4"/>
        <v>0.999999994425385-0.0000744705157148068i</v>
      </c>
      <c r="AN5" s="10" t="str">
        <f t="shared" si="11"/>
        <v>-71.4413278712755+7.78347777806979i</v>
      </c>
      <c r="AO5" s="10">
        <f t="shared" si="12"/>
        <v>71.86407902654004</v>
      </c>
      <c r="AP5" s="10">
        <f t="shared" si="13"/>
        <v>3.0330714511004584</v>
      </c>
      <c r="AQ5" s="10">
        <f t="shared" si="14"/>
        <v>173.78219310967651</v>
      </c>
      <c r="AR5" s="10">
        <f t="shared" si="15"/>
        <v>37.13023728504907</v>
      </c>
      <c r="AS5" s="10">
        <f t="shared" si="16"/>
        <v>67.708677555918968</v>
      </c>
      <c r="AT5" s="10">
        <f t="shared" si="17"/>
        <v>172.68671861043589</v>
      </c>
    </row>
    <row r="6" spans="1:46" x14ac:dyDescent="0.25">
      <c r="A6" t="s">
        <v>112</v>
      </c>
      <c r="B6" s="3">
        <f>1/(B5*B3*2*PI())*10^9</f>
        <v>5.6492527004112016</v>
      </c>
      <c r="C6" t="s">
        <v>102</v>
      </c>
      <c r="S6" s="10" t="s">
        <v>18</v>
      </c>
      <c r="T6" s="10">
        <f>'2. Design Parameters'!C4/'2. Design Parameters'!D5</f>
        <v>5</v>
      </c>
      <c r="U6" s="11" t="s">
        <v>43</v>
      </c>
      <c r="Y6" s="10">
        <v>4</v>
      </c>
      <c r="Z6" s="10">
        <f t="shared" si="5"/>
        <v>1.318256738556407</v>
      </c>
      <c r="AA6" s="10" t="str">
        <f t="shared" si="6"/>
        <v>8.2828513707881i</v>
      </c>
      <c r="AC6" s="10">
        <f>1/(2*$T$3+$T$6*$T$2/('4. Boost Inductor'!$B$11*$T$3^2)*($T$5-0.5))</f>
        <v>0.16903313049357674</v>
      </c>
      <c r="AD6" s="10" t="str">
        <f t="shared" si="7"/>
        <v>0.999579767555696-0.0204538916481019i</v>
      </c>
      <c r="AE6" s="10" t="str">
        <f t="shared" si="8"/>
        <v>0.999999999830103-0.000027051792575963i</v>
      </c>
      <c r="AF6" s="10" t="str">
        <f t="shared" si="9"/>
        <v>33.7924007461608-0.692391212615345i</v>
      </c>
      <c r="AG6" s="10">
        <f t="shared" si="10"/>
        <v>33.799493395322301</v>
      </c>
      <c r="AH6" s="10">
        <f t="shared" si="0"/>
        <v>-2.0486687186570762E-2</v>
      </c>
      <c r="AI6" s="10">
        <f t="shared" si="1"/>
        <v>-1.1738007119952472</v>
      </c>
      <c r="AJ6" s="10">
        <f t="shared" si="2"/>
        <v>30.578203817822395</v>
      </c>
      <c r="AL6" s="10" t="str">
        <f t="shared" si="3"/>
        <v>0.986124455676491-0.115034732962042i</v>
      </c>
      <c r="AM6" s="10" t="str">
        <f t="shared" si="4"/>
        <v>0.999999993599486-0.0000797965951931704i</v>
      </c>
      <c r="AN6" s="10" t="str">
        <f t="shared" si="11"/>
        <v>-71.313382581946+8.3247138795319i</v>
      </c>
      <c r="AO6" s="10">
        <f t="shared" si="12"/>
        <v>71.797628069839973</v>
      </c>
      <c r="AP6" s="10">
        <f t="shared" si="13"/>
        <v>3.0253843562845995</v>
      </c>
      <c r="AQ6" s="10">
        <f t="shared" si="14"/>
        <v>173.34175502001091</v>
      </c>
      <c r="AR6" s="10">
        <f t="shared" si="15"/>
        <v>37.122201939666233</v>
      </c>
      <c r="AS6" s="10">
        <f t="shared" si="16"/>
        <v>67.700405757488625</v>
      </c>
      <c r="AT6" s="10">
        <f t="shared" si="17"/>
        <v>172.16795430801565</v>
      </c>
    </row>
    <row r="7" spans="1:46" x14ac:dyDescent="0.25">
      <c r="A7" t="s">
        <v>113</v>
      </c>
      <c r="B7" s="3">
        <f>(1/(B5*2*PI()*B4))/(1-1/(B6*10^-9*B5*2*PI()*B4))*10^9</f>
        <v>0.62769474449013352</v>
      </c>
      <c r="C7" t="s">
        <v>102</v>
      </c>
      <c r="S7" s="10" t="s">
        <v>30</v>
      </c>
      <c r="T7" s="10">
        <f>'2. Design Parameters'!C7*1000/'5. Current Sense Resistor'!B11</f>
        <v>8160000</v>
      </c>
      <c r="U7" s="10" t="s">
        <v>48</v>
      </c>
      <c r="Y7" s="10">
        <v>5</v>
      </c>
      <c r="Z7" s="10">
        <f t="shared" si="5"/>
        <v>1.4125375446227544</v>
      </c>
      <c r="AA7" s="10" t="str">
        <f t="shared" si="6"/>
        <v>8.87523514621322i</v>
      </c>
      <c r="AC7" s="10">
        <f>1/(2*$T$3+$T$6*$T$2/('4. Boost Inductor'!$B$11*$T$3^2)*($T$5-0.5))</f>
        <v>0.16903313049357674</v>
      </c>
      <c r="AD7" s="10" t="str">
        <f t="shared" si="7"/>
        <v>0.999517538756323-0.0219153698171274i</v>
      </c>
      <c r="AE7" s="10" t="str">
        <f t="shared" si="8"/>
        <v>0.999999999804932-0.000028986517986264i</v>
      </c>
      <c r="AF7" s="10" t="str">
        <f t="shared" si="9"/>
        <v>33.7902942295838-0.741864176672318i</v>
      </c>
      <c r="AG7" s="10">
        <f t="shared" si="10"/>
        <v>33.798437043426638</v>
      </c>
      <c r="AH7" s="10">
        <f t="shared" si="0"/>
        <v>-2.1951422155728945E-2</v>
      </c>
      <c r="AI7" s="10">
        <f t="shared" si="1"/>
        <v>-1.2577238438332359</v>
      </c>
      <c r="AJ7" s="10">
        <f t="shared" si="2"/>
        <v>30.57793234927518</v>
      </c>
      <c r="AL7" s="10" t="str">
        <f t="shared" si="3"/>
        <v>0.984102519634172-0.123000607631587i</v>
      </c>
      <c r="AM7" s="10" t="str">
        <f t="shared" si="4"/>
        <v>0.999999992651227-0.0000855035921602125i</v>
      </c>
      <c r="AN7" s="10" t="str">
        <f t="shared" si="11"/>
        <v>-71.1670644401201+8.90118042712264i</v>
      </c>
      <c r="AO7" s="10">
        <f t="shared" si="12"/>
        <v>71.721559339018825</v>
      </c>
      <c r="AP7" s="10">
        <f t="shared" si="13"/>
        <v>3.0171643691536278</v>
      </c>
      <c r="AQ7" s="10">
        <f t="shared" si="14"/>
        <v>172.87078444975438</v>
      </c>
      <c r="AR7" s="10">
        <f t="shared" si="15"/>
        <v>37.112994464699007</v>
      </c>
      <c r="AS7" s="10">
        <f t="shared" si="16"/>
        <v>67.690926813974187</v>
      </c>
      <c r="AT7" s="10">
        <f t="shared" si="17"/>
        <v>171.61306060592113</v>
      </c>
    </row>
    <row r="8" spans="1:46" x14ac:dyDescent="0.25">
      <c r="A8" t="s">
        <v>107</v>
      </c>
      <c r="B8" s="2">
        <v>100000</v>
      </c>
      <c r="C8" s="1" t="s">
        <v>43</v>
      </c>
      <c r="Y8" s="10">
        <v>6</v>
      </c>
      <c r="Z8" s="10">
        <f t="shared" si="5"/>
        <v>1.513561248436208</v>
      </c>
      <c r="AA8" s="10" t="str">
        <f t="shared" si="6"/>
        <v>9.50998579769077i</v>
      </c>
      <c r="AC8" s="10">
        <f>1/(2*$T$3+$T$6*$T$2/('4. Boost Inductor'!$B$11*$T$3^2)*($T$5-0.5))</f>
        <v>0.16903313049357674</v>
      </c>
      <c r="AD8" s="10" t="str">
        <f t="shared" si="7"/>
        <v>0.999446100127966-0.0234810566587682i</v>
      </c>
      <c r="AE8" s="10" t="str">
        <f t="shared" si="8"/>
        <v>0.999999999776033-0.0000310596136136977i</v>
      </c>
      <c r="AF8" s="10" t="str">
        <f t="shared" si="9"/>
        <v>33.7878759496814-0.794864741825791i</v>
      </c>
      <c r="AG8" s="10">
        <f t="shared" si="10"/>
        <v>33.797224311307822</v>
      </c>
      <c r="AH8" s="10">
        <f t="shared" si="0"/>
        <v>-2.3520808381462813E-2</v>
      </c>
      <c r="AI8" s="10">
        <f t="shared" si="1"/>
        <v>-1.347643050993752</v>
      </c>
      <c r="AJ8" s="10">
        <f t="shared" si="2"/>
        <v>30.577620682605023</v>
      </c>
      <c r="AL8" s="10" t="str">
        <f t="shared" si="3"/>
        <v>0.981791573624138-0.131477480785742i</v>
      </c>
      <c r="AM8" s="10" t="str">
        <f t="shared" si="4"/>
        <v>0.99999999156248-0.0000916187495665637i</v>
      </c>
      <c r="AN8" s="10" t="str">
        <f t="shared" si="11"/>
        <v>-70.9998319861779+9.51462650487201i</v>
      </c>
      <c r="AO8" s="10">
        <f t="shared" si="12"/>
        <v>71.63451863168136</v>
      </c>
      <c r="AP8" s="10">
        <f t="shared" si="13"/>
        <v>3.0083771768781085</v>
      </c>
      <c r="AQ8" s="10">
        <f t="shared" si="14"/>
        <v>172.36731541859714</v>
      </c>
      <c r="AR8" s="10">
        <f t="shared" si="15"/>
        <v>37.10244693742905</v>
      </c>
      <c r="AS8" s="10">
        <f t="shared" si="16"/>
        <v>67.680067620034066</v>
      </c>
      <c r="AT8" s="10">
        <f t="shared" si="17"/>
        <v>171.01967236760339</v>
      </c>
    </row>
    <row r="9" spans="1:46" x14ac:dyDescent="0.25">
      <c r="A9" t="s">
        <v>108</v>
      </c>
      <c r="B9" s="2">
        <v>4.7</v>
      </c>
      <c r="C9" t="s">
        <v>102</v>
      </c>
      <c r="V9" s="10">
        <f>gm</f>
        <v>1.1999999999999999E-3</v>
      </c>
      <c r="Y9" s="10">
        <v>7</v>
      </c>
      <c r="Z9" s="10">
        <f t="shared" si="5"/>
        <v>1.6218100973589298</v>
      </c>
      <c r="AA9" s="10" t="str">
        <f t="shared" si="6"/>
        <v>10.1901333747611i</v>
      </c>
      <c r="AC9" s="10">
        <f>1/(2*$T$3+$T$6*$T$2/('4. Boost Inductor'!$B$11*$T$3^2)*($T$5-0.5))</f>
        <v>0.16903313049357674</v>
      </c>
      <c r="AD9" s="10" t="str">
        <f t="shared" si="7"/>
        <v>0.999364090251408-0.0251583326103988i</v>
      </c>
      <c r="AE9" s="10" t="str">
        <f t="shared" si="8"/>
        <v>0.999999999742851-0.00003328097560005i</v>
      </c>
      <c r="AF9" s="10" t="str">
        <f t="shared" si="9"/>
        <v>33.7850998208441-0.851642745633285i</v>
      </c>
      <c r="AG9" s="10">
        <f t="shared" si="10"/>
        <v>33.795832069511029</v>
      </c>
      <c r="AH9" s="10">
        <f t="shared" si="0"/>
        <v>-2.5202306158026155E-2</v>
      </c>
      <c r="AI9" s="10">
        <f t="shared" si="1"/>
        <v>-1.4439857768514637</v>
      </c>
      <c r="AJ9" s="10">
        <f t="shared" si="2"/>
        <v>30.577262868970148</v>
      </c>
      <c r="AL9" s="10" t="str">
        <f t="shared" si="3"/>
        <v>0.979152054833153-0.140488965876533i</v>
      </c>
      <c r="AM9" s="10" t="str">
        <f t="shared" si="4"/>
        <v>0.99999999031243-0.0000981712587589471i</v>
      </c>
      <c r="AN9" s="10" t="str">
        <f t="shared" si="11"/>
        <v>-70.8088222426524+10.1667609759621i</v>
      </c>
      <c r="AO9" s="10">
        <f t="shared" si="12"/>
        <v>71.534972818432593</v>
      </c>
      <c r="AP9" s="10">
        <f t="shared" si="13"/>
        <v>2.9989868518169032</v>
      </c>
      <c r="AQ9" s="10">
        <f t="shared" si="14"/>
        <v>171.82928942433418</v>
      </c>
      <c r="AR9" s="10">
        <f t="shared" si="15"/>
        <v>37.090368329362647</v>
      </c>
      <c r="AS9" s="10">
        <f t="shared" si="16"/>
        <v>67.667631198332799</v>
      </c>
      <c r="AT9" s="10">
        <f t="shared" si="17"/>
        <v>170.38530364748271</v>
      </c>
    </row>
    <row r="10" spans="1:46" x14ac:dyDescent="0.25">
      <c r="A10" t="s">
        <v>109</v>
      </c>
      <c r="B10" s="24">
        <v>0.1</v>
      </c>
      <c r="C10" t="s">
        <v>102</v>
      </c>
      <c r="V10" s="10">
        <f>R0</f>
        <v>3000000</v>
      </c>
      <c r="Y10" s="10">
        <v>8</v>
      </c>
      <c r="Z10" s="10">
        <f t="shared" si="5"/>
        <v>1.7378008287493754</v>
      </c>
      <c r="AA10" s="10" t="str">
        <f t="shared" si="6"/>
        <v>10.9189246340026i</v>
      </c>
      <c r="AC10" s="10">
        <f>1/(2*$T$3+$T$6*$T$2/('4. Boost Inductor'!$B$11*$T$3^2)*($T$5-0.5))</f>
        <v>0.16903313049357674</v>
      </c>
      <c r="AD10" s="10" t="str">
        <f t="shared" si="7"/>
        <v>0.999269946977616-0.0269550892983707i</v>
      </c>
      <c r="AE10" s="10" t="str">
        <f t="shared" si="8"/>
        <v>0.999999999704753-0.0000356612078522908i</v>
      </c>
      <c r="AF10" s="10" t="str">
        <f t="shared" si="9"/>
        <v>33.7819129625268-0.912465330077485i</v>
      </c>
      <c r="AG10" s="10">
        <f t="shared" si="10"/>
        <v>33.794233774215535</v>
      </c>
      <c r="AH10" s="10">
        <f t="shared" si="0"/>
        <v>-2.7003903749024123E-2</v>
      </c>
      <c r="AI10" s="10">
        <f t="shared" si="1"/>
        <v>-1.5472097151965831</v>
      </c>
      <c r="AJ10" s="10">
        <f t="shared" si="2"/>
        <v>30.576852080302462</v>
      </c>
      <c r="AL10" s="10" t="str">
        <f t="shared" si="3"/>
        <v>0.976139524425663-0.150057620396529i</v>
      </c>
      <c r="AM10" s="10" t="str">
        <f t="shared" si="4"/>
        <v>0.999999988877182-0.000105192398827929i</v>
      </c>
      <c r="AN10" s="10" t="str">
        <f t="shared" si="11"/>
        <v>-70.5908193769354+10.8592162934831i</v>
      </c>
      <c r="AO10" s="10">
        <f t="shared" si="12"/>
        <v>71.421189844581619</v>
      </c>
      <c r="AP10" s="10">
        <f t="shared" si="13"/>
        <v>2.9889559150924585</v>
      </c>
      <c r="AQ10" s="10">
        <f t="shared" si="14"/>
        <v>171.2545590854607</v>
      </c>
      <c r="AR10" s="10">
        <f t="shared" si="15"/>
        <v>37.07654162131665</v>
      </c>
      <c r="AS10" s="10">
        <f t="shared" si="16"/>
        <v>67.653393701619109</v>
      </c>
      <c r="AT10" s="10">
        <f t="shared" si="17"/>
        <v>169.70734937026413</v>
      </c>
    </row>
    <row r="11" spans="1:46" x14ac:dyDescent="0.25">
      <c r="Y11" s="10">
        <v>9</v>
      </c>
      <c r="Z11" s="10">
        <f t="shared" si="5"/>
        <v>1.8620871366628673</v>
      </c>
      <c r="AA11" s="10" t="str">
        <f t="shared" si="6"/>
        <v>11.6998385377682i</v>
      </c>
      <c r="AC11" s="10">
        <f>1/(2*$T$3+$T$6*$T$2/('4. Boost Inductor'!$B$11*$T$3^2)*($T$5-0.5))</f>
        <v>0.16903313049357674</v>
      </c>
      <c r="AD11" s="10" t="str">
        <f t="shared" si="7"/>
        <v>0.99916187799668-0.0288797622786479i</v>
      </c>
      <c r="AE11" s="10" t="str">
        <f t="shared" si="8"/>
        <v>0.999999999661011-0.0000382116726614454i</v>
      </c>
      <c r="AF11" s="10" t="str">
        <f t="shared" si="9"/>
        <v>33.7782547029734-0.977618049880858i</v>
      </c>
      <c r="AG11" s="10">
        <f t="shared" si="10"/>
        <v>33.79239896530575</v>
      </c>
      <c r="AH11" s="10">
        <f t="shared" si="0"/>
        <v>-2.8934153864381845E-2</v>
      </c>
      <c r="AI11" s="10">
        <f t="shared" si="1"/>
        <v>-1.6578049002112212</v>
      </c>
      <c r="AJ11" s="10">
        <f t="shared" si="2"/>
        <v>30.576380479719468</v>
      </c>
      <c r="AL11" s="10" t="str">
        <f t="shared" si="3"/>
        <v>0.972704233904697-0.160204329083719i</v>
      </c>
      <c r="AM11" s="10" t="str">
        <f t="shared" si="4"/>
        <v>0.999999987229296-0.000112715685921673i</v>
      </c>
      <c r="AN11" s="10" t="str">
        <f t="shared" si="11"/>
        <v>-70.3422233208234+11.5935038661722i</v>
      </c>
      <c r="AO11" s="10">
        <f t="shared" si="12"/>
        <v>71.291217647137586</v>
      </c>
      <c r="AP11" s="10">
        <f t="shared" si="13"/>
        <v>2.9782454404078842</v>
      </c>
      <c r="AQ11" s="10">
        <f t="shared" si="14"/>
        <v>170.6408940894529</v>
      </c>
      <c r="AR11" s="10">
        <f t="shared" si="15"/>
        <v>37.060720649685983</v>
      </c>
      <c r="AS11" s="10">
        <f t="shared" si="16"/>
        <v>67.637101129405451</v>
      </c>
      <c r="AT11" s="10">
        <f t="shared" si="17"/>
        <v>168.98308918924167</v>
      </c>
    </row>
    <row r="12" spans="1:46" x14ac:dyDescent="0.25">
      <c r="A12" t="s">
        <v>95</v>
      </c>
      <c r="B12">
        <f>B8</f>
        <v>100000</v>
      </c>
      <c r="C12" s="1" t="s">
        <v>43</v>
      </c>
      <c r="D12" s="1"/>
      <c r="Y12" s="10">
        <v>10</v>
      </c>
      <c r="Z12" s="10">
        <f t="shared" si="5"/>
        <v>1.9952623149688797</v>
      </c>
      <c r="AA12" s="10" t="str">
        <f t="shared" si="6"/>
        <v>12.5366028613816i</v>
      </c>
      <c r="AC12" s="10">
        <f>1/(2*$T$3+$T$6*$T$2/('4. Boost Inductor'!$B$11*$T$3^2)*($T$5-0.5))</f>
        <v>0.16903313049357674</v>
      </c>
      <c r="AD12" s="10" t="str">
        <f t="shared" si="7"/>
        <v>0.999037827144022-0.0309413652460947i</v>
      </c>
      <c r="AE12" s="10" t="str">
        <f t="shared" si="8"/>
        <v>0.999999999610789-0.0000409445449416977i</v>
      </c>
      <c r="AF12" s="10" t="str">
        <f t="shared" si="9"/>
        <v>33.7740554386432-1.04740603053631i</v>
      </c>
      <c r="AG12" s="10">
        <f t="shared" si="10"/>
        <v>33.790292691324062</v>
      </c>
      <c r="AH12" s="10">
        <f t="shared" si="0"/>
        <v>-3.1002212451992538E-2</v>
      </c>
      <c r="AI12" s="10">
        <f t="shared" si="1"/>
        <v>-1.7762959290670999</v>
      </c>
      <c r="AJ12" s="10">
        <f t="shared" si="2"/>
        <v>30.575839072950668</v>
      </c>
      <c r="AL12" s="10" t="str">
        <f t="shared" si="3"/>
        <v>0.968790707184221-0.170947552601013i</v>
      </c>
      <c r="AM12" s="10" t="str">
        <f t="shared" si="4"/>
        <v>0.99999998533727-0.000120777033238474i</v>
      </c>
      <c r="AN12" s="10" t="str">
        <f t="shared" si="11"/>
        <v>-70.0590195270315+12.3709596891995i</v>
      </c>
      <c r="AO12" s="10">
        <f t="shared" si="12"/>
        <v>71.142862331514181</v>
      </c>
      <c r="AP12" s="10">
        <f t="shared" si="13"/>
        <v>2.9668152071028056</v>
      </c>
      <c r="AQ12" s="10">
        <f t="shared" si="14"/>
        <v>169.98598996222202</v>
      </c>
      <c r="AR12" s="10">
        <f t="shared" si="15"/>
        <v>37.042626688396574</v>
      </c>
      <c r="AS12" s="10">
        <f t="shared" si="16"/>
        <v>67.618465761347238</v>
      </c>
      <c r="AT12" s="10">
        <f t="shared" si="17"/>
        <v>168.20969403315493</v>
      </c>
    </row>
    <row r="13" spans="1:46" x14ac:dyDescent="0.25">
      <c r="A13" t="s">
        <v>96</v>
      </c>
      <c r="B13">
        <f>B9</f>
        <v>4.7</v>
      </c>
      <c r="C13" t="s">
        <v>102</v>
      </c>
      <c r="Y13" s="10">
        <v>11</v>
      </c>
      <c r="Z13" s="10">
        <f t="shared" si="5"/>
        <v>2.1379620895022318</v>
      </c>
      <c r="AA13" s="10" t="str">
        <f t="shared" si="6"/>
        <v>13.4332119880674i</v>
      </c>
      <c r="AC13" s="10">
        <f>1/(2*$T$3+$T$6*$T$2/('4. Boost Inductor'!$B$11*$T$3^2)*($T$5-0.5))</f>
        <v>0.16903313049357674</v>
      </c>
      <c r="AD13" s="10" t="str">
        <f t="shared" si="7"/>
        <v>0.998895435843202-0.0331495256191141i</v>
      </c>
      <c r="AE13" s="10" t="str">
        <f t="shared" si="8"/>
        <v>0.999999999553126-0.0000438728703486304i</v>
      </c>
      <c r="AF13" s="10" t="str">
        <f t="shared" si="9"/>
        <v>33.7692353290055-1.1221551728955i</v>
      </c>
      <c r="AG13" s="10">
        <f t="shared" si="10"/>
        <v>33.78787485086638</v>
      </c>
      <c r="AH13" s="10">
        <f t="shared" si="0"/>
        <v>-3.3217879902392895E-2</v>
      </c>
      <c r="AI13" s="10">
        <f t="shared" si="1"/>
        <v>-1.9032443227795519</v>
      </c>
      <c r="AJ13" s="10">
        <f t="shared" si="2"/>
        <v>30.575217538033385</v>
      </c>
      <c r="AL13" s="10" t="str">
        <f t="shared" si="3"/>
        <v>0.964337360575497-0.182302423513569i</v>
      </c>
      <c r="AM13" s="10" t="str">
        <f t="shared" si="4"/>
        <v>0.999999983164934-0.000129414922461758i</v>
      </c>
      <c r="AN13" s="10" t="str">
        <f t="shared" si="11"/>
        <v>-69.7367514693646+13.1926789246311i</v>
      </c>
      <c r="AO13" s="10">
        <f t="shared" si="12"/>
        <v>70.973666121374421</v>
      </c>
      <c r="AP13" s="10">
        <f t="shared" si="13"/>
        <v>2.9546239127377474</v>
      </c>
      <c r="AQ13" s="10">
        <f t="shared" si="14"/>
        <v>169.28748024830256</v>
      </c>
      <c r="AR13" s="10">
        <f t="shared" si="15"/>
        <v>37.021944782937751</v>
      </c>
      <c r="AS13" s="10">
        <f t="shared" si="16"/>
        <v>67.597162320971137</v>
      </c>
      <c r="AT13" s="10">
        <f t="shared" si="17"/>
        <v>167.384235925523</v>
      </c>
    </row>
    <row r="14" spans="1:46" x14ac:dyDescent="0.25">
      <c r="A14" t="s">
        <v>97</v>
      </c>
      <c r="B14">
        <f>B10</f>
        <v>0.1</v>
      </c>
      <c r="C14" t="s">
        <v>102</v>
      </c>
      <c r="S14" s="16" t="s">
        <v>118</v>
      </c>
      <c r="Y14" s="10">
        <v>12</v>
      </c>
      <c r="Z14" s="10">
        <f t="shared" si="5"/>
        <v>2.2908676527677727</v>
      </c>
      <c r="AA14" s="10" t="str">
        <f t="shared" si="6"/>
        <v>14.3939459765635i</v>
      </c>
      <c r="AC14" s="10">
        <f>1/(2*$T$3+$T$6*$T$2/('4. Boost Inductor'!$B$11*$T$3^2)*($T$5-0.5))</f>
        <v>0.16903313049357674</v>
      </c>
      <c r="AD14" s="10" t="str">
        <f t="shared" si="7"/>
        <v>0.998731999005378-0.0355145213550993i</v>
      </c>
      <c r="AE14" s="10" t="str">
        <f t="shared" si="8"/>
        <v>0.99999999948692-0.0000470106275540459i</v>
      </c>
      <c r="AF14" s="10" t="str">
        <f t="shared" si="9"/>
        <v>33.7637028036853-1.20221339942221i</v>
      </c>
      <c r="AG14" s="10">
        <f t="shared" si="10"/>
        <v>33.78509943855925</v>
      </c>
      <c r="AH14" s="10">
        <f t="shared" si="0"/>
        <v>-3.5591644756611404E-2</v>
      </c>
      <c r="AI14" s="10">
        <f t="shared" si="1"/>
        <v>-2.0392510304827596</v>
      </c>
      <c r="AJ14" s="10">
        <f t="shared" si="2"/>
        <v>30.574504030147516</v>
      </c>
      <c r="AL14" s="10" t="str">
        <f t="shared" si="3"/>
        <v>0.959276190024073-0.194279672138532i</v>
      </c>
      <c r="AM14" s="10" t="str">
        <f t="shared" si="4"/>
        <v>0.999999980670758-0.00013867058745594i</v>
      </c>
      <c r="AN14" s="10" t="str">
        <f t="shared" si="11"/>
        <v>-69.3704980095076+14.0594381705761i</v>
      </c>
      <c r="AO14" s="10">
        <f t="shared" si="12"/>
        <v>70.780885807959123</v>
      </c>
      <c r="AP14" s="10">
        <f t="shared" si="13"/>
        <v>2.9416294567780099</v>
      </c>
      <c r="AQ14" s="10">
        <f t="shared" si="14"/>
        <v>168.54295276474099</v>
      </c>
      <c r="AR14" s="10">
        <f t="shared" si="15"/>
        <v>36.998319868799463</v>
      </c>
      <c r="AS14" s="10">
        <f t="shared" si="16"/>
        <v>67.572823898946979</v>
      </c>
      <c r="AT14" s="10">
        <f t="shared" si="17"/>
        <v>166.50370173425824</v>
      </c>
    </row>
    <row r="15" spans="1:46" x14ac:dyDescent="0.25">
      <c r="S15" s="10" t="s">
        <v>119</v>
      </c>
      <c r="T15" s="10">
        <f>1*10^-12</f>
        <v>9.9999999999999998E-13</v>
      </c>
      <c r="U15" s="10" t="s">
        <v>120</v>
      </c>
      <c r="Y15" s="10">
        <v>13</v>
      </c>
      <c r="Z15" s="10">
        <f t="shared" si="5"/>
        <v>2.4547089156850301</v>
      </c>
      <c r="AA15" s="10" t="str">
        <f t="shared" si="6"/>
        <v>15.4233909924349i</v>
      </c>
      <c r="AC15" s="10">
        <f>1/(2*$T$3+$T$6*$T$2/('4. Boost Inductor'!$B$11*$T$3^2)*($T$5-0.5))</f>
        <v>0.16903313049357674</v>
      </c>
      <c r="AD15" s="10" t="str">
        <f t="shared" si="7"/>
        <v>0.998544414617543-0.0380473187874334i</v>
      </c>
      <c r="AE15" s="10" t="str">
        <f t="shared" si="8"/>
        <v>0.999999999410906-0.0000503727949746361i</v>
      </c>
      <c r="AF15" s="10" t="str">
        <f t="shared" si="9"/>
        <v>33.7573528559675-1.28795193502673i</v>
      </c>
      <c r="AG15" s="10">
        <f t="shared" si="10"/>
        <v>33.781913682164841</v>
      </c>
      <c r="AH15" s="10">
        <f t="shared" si="0"/>
        <v>-3.8134729995095706E-2</v>
      </c>
      <c r="AI15" s="10">
        <f t="shared" si="1"/>
        <v>-2.1849590815899305</v>
      </c>
      <c r="AJ15" s="10">
        <f t="shared" si="2"/>
        <v>30.57368495802347</v>
      </c>
      <c r="AL15" s="10" t="str">
        <f t="shared" si="3"/>
        <v>0.953532563325308-0.206884367223686i</v>
      </c>
      <c r="AM15" s="10" t="str">
        <f t="shared" si="4"/>
        <v>0.999999977807061-0.00014858821109996i</v>
      </c>
      <c r="AN15" s="10" t="str">
        <f t="shared" si="11"/>
        <v>-68.9548583606236+14.9716043303901i</v>
      </c>
      <c r="AO15" s="10">
        <f t="shared" si="12"/>
        <v>70.561472687008305</v>
      </c>
      <c r="AP15" s="10">
        <f t="shared" si="13"/>
        <v>2.9277893081212842</v>
      </c>
      <c r="AQ15" s="10">
        <f t="shared" si="14"/>
        <v>167.74997065887695</v>
      </c>
      <c r="AR15" s="10">
        <f t="shared" si="15"/>
        <v>36.971352727386517</v>
      </c>
      <c r="AS15" s="10">
        <f t="shared" si="16"/>
        <v>67.545037685409994</v>
      </c>
      <c r="AT15" s="10">
        <f t="shared" si="17"/>
        <v>165.56501157728701</v>
      </c>
    </row>
    <row r="16" spans="1:46" x14ac:dyDescent="0.25">
      <c r="S16" s="10" t="s">
        <v>121</v>
      </c>
      <c r="T16" s="10">
        <f>3*10^6</f>
        <v>3000000</v>
      </c>
      <c r="U16" s="11" t="s">
        <v>43</v>
      </c>
      <c r="Y16" s="10">
        <v>14</v>
      </c>
      <c r="Z16" s="10">
        <f t="shared" si="5"/>
        <v>2.6302679918953817</v>
      </c>
      <c r="AA16" s="10" t="str">
        <f t="shared" si="6"/>
        <v>16.5264612006218i</v>
      </c>
      <c r="AC16" s="10">
        <f>1/(2*$T$3+$T$6*$T$2/('4. Boost Inductor'!$B$11*$T$3^2)*($T$5-0.5))</f>
        <v>0.16903313049357674</v>
      </c>
      <c r="AD16" s="10" t="str">
        <f t="shared" si="7"/>
        <v>0.998329126154616-0.0407596111935271i</v>
      </c>
      <c r="AE16" s="10" t="str">
        <f t="shared" si="8"/>
        <v>0.999999999323629-0.0000539754222730418i</v>
      </c>
      <c r="AF16" s="10" t="str">
        <f t="shared" si="9"/>
        <v>33.750065093379-1.3797666126474i</v>
      </c>
      <c r="AG16" s="10">
        <f t="shared" si="10"/>
        <v>33.778257055577868</v>
      </c>
      <c r="AH16" s="10">
        <f t="shared" si="0"/>
        <v>-4.0859141968370455E-2</v>
      </c>
      <c r="AI16" s="10">
        <f t="shared" si="1"/>
        <v>-2.3410563893134819</v>
      </c>
      <c r="AJ16" s="10">
        <f t="shared" si="2"/>
        <v>30.572744727865189</v>
      </c>
      <c r="AL16" s="10" t="str">
        <f t="shared" si="3"/>
        <v>0.947025164576122-0.220114461084003i</v>
      </c>
      <c r="AM16" s="10" t="str">
        <f t="shared" si="4"/>
        <v>0.999999974519096-0.00015921513619812i</v>
      </c>
      <c r="AN16" s="10" t="str">
        <f t="shared" si="11"/>
        <v>-68.4839480675825+15.9290293314352i</v>
      </c>
      <c r="AO16" s="10">
        <f t="shared" si="12"/>
        <v>70.312055284745156</v>
      </c>
      <c r="AP16" s="10">
        <f t="shared" si="13"/>
        <v>2.9130609701390009</v>
      </c>
      <c r="AQ16" s="10">
        <f t="shared" si="14"/>
        <v>166.9060990532499</v>
      </c>
      <c r="AR16" s="10">
        <f t="shared" si="15"/>
        <v>36.9405958588003</v>
      </c>
      <c r="AS16" s="10">
        <f t="shared" si="16"/>
        <v>67.513340586665493</v>
      </c>
      <c r="AT16" s="10">
        <f t="shared" si="17"/>
        <v>164.56504266393642</v>
      </c>
    </row>
    <row r="17" spans="19:46" x14ac:dyDescent="0.25">
      <c r="S17" s="10" t="s">
        <v>122</v>
      </c>
      <c r="T17" s="10">
        <v>502</v>
      </c>
      <c r="U17" s="11" t="s">
        <v>43</v>
      </c>
      <c r="Y17" s="10">
        <v>15</v>
      </c>
      <c r="Z17" s="10">
        <f t="shared" si="5"/>
        <v>2.8183829312644537</v>
      </c>
      <c r="AA17" s="10" t="str">
        <f t="shared" si="6"/>
        <v>17.7084222237266i</v>
      </c>
      <c r="AC17" s="10">
        <f>1/(2*$T$3+$T$6*$T$2/('4. Boost Inductor'!$B$11*$T$3^2)*($T$5-0.5))</f>
        <v>0.16903313049357674</v>
      </c>
      <c r="AD17" s="10" t="str">
        <f t="shared" si="7"/>
        <v>0.998082056844354-0.0436638577019563i</v>
      </c>
      <c r="AE17" s="10" t="str">
        <f t="shared" si="8"/>
        <v>0.999999999223422-0.0000578357069726165i</v>
      </c>
      <c r="AF17" s="10" t="str">
        <f t="shared" si="9"/>
        <v>33.7417015124809-1.47807919031177i</v>
      </c>
      <c r="AG17" s="10">
        <f t="shared" si="10"/>
        <v>33.774060150508831</v>
      </c>
      <c r="AH17" s="10">
        <f t="shared" si="0"/>
        <v>-4.3777722006480765E-2</v>
      </c>
      <c r="AI17" s="10">
        <f t="shared" si="1"/>
        <v>-2.5082787076683335</v>
      </c>
      <c r="AJ17" s="10">
        <f t="shared" si="2"/>
        <v>30.571665450179218</v>
      </c>
      <c r="AL17" s="10" t="str">
        <f t="shared" si="3"/>
        <v>0.939666148459417-0.233959136572628i</v>
      </c>
      <c r="AM17" s="10" t="str">
        <f t="shared" si="4"/>
        <v>0.999999970744008-0.000170602091474944i</v>
      </c>
      <c r="AN17" s="10" t="str">
        <f t="shared" si="11"/>
        <v>-67.9514101718073+16.9309305035517i</v>
      </c>
      <c r="AO17" s="10">
        <f t="shared" si="12"/>
        <v>70.028926537919276</v>
      </c>
      <c r="AP17" s="10">
        <f t="shared" si="13"/>
        <v>2.8974025573890598</v>
      </c>
      <c r="AQ17" s="10">
        <f t="shared" si="14"/>
        <v>166.00893808880443</v>
      </c>
      <c r="AR17" s="10">
        <f t="shared" si="15"/>
        <v>36.905549383383843</v>
      </c>
      <c r="AS17" s="10">
        <f t="shared" si="16"/>
        <v>67.477214833563067</v>
      </c>
      <c r="AT17" s="10">
        <f t="shared" si="17"/>
        <v>163.5006593811361</v>
      </c>
    </row>
    <row r="18" spans="19:46" x14ac:dyDescent="0.25">
      <c r="S18" s="10" t="s">
        <v>123</v>
      </c>
      <c r="T18" s="10">
        <v>1.1999999999999999E-3</v>
      </c>
      <c r="Y18" s="10">
        <v>16</v>
      </c>
      <c r="Z18" s="10">
        <f t="shared" si="5"/>
        <v>3.0199517204020156</v>
      </c>
      <c r="AA18" s="10" t="str">
        <f t="shared" si="6"/>
        <v>18.9749162780217i</v>
      </c>
      <c r="AC18" s="10">
        <f>1/(2*$T$3+$T$6*$T$2/('4. Boost Inductor'!$B$11*$T$3^2)*($T$5-0.5))</f>
        <v>0.16903313049357674</v>
      </c>
      <c r="AD18" s="10" t="str">
        <f t="shared" si="7"/>
        <v>0.997798534698977-0.0467733220207592i</v>
      </c>
      <c r="AE18" s="10" t="str">
        <f t="shared" si="8"/>
        <v>0.999999999108369-0.0000619720765516243i</v>
      </c>
      <c r="AF18" s="10" t="str">
        <f t="shared" si="9"/>
        <v>33.7321039611026-1.58333866214436i</v>
      </c>
      <c r="AG18" s="10">
        <f t="shared" si="10"/>
        <v>33.769243387462424</v>
      </c>
      <c r="AH18" s="10">
        <f t="shared" si="0"/>
        <v>-4.6904200712831641E-2</v>
      </c>
      <c r="AI18" s="10">
        <f t="shared" si="1"/>
        <v>-2.6874127422797605</v>
      </c>
      <c r="AJ18" s="10">
        <f t="shared" si="2"/>
        <v>30.570426604279977</v>
      </c>
      <c r="AL18" s="10" t="str">
        <f t="shared" si="3"/>
        <v>0.931361572469792-0.248396964960849i</v>
      </c>
      <c r="AM18" s="10" t="str">
        <f t="shared" si="4"/>
        <v>0.999999966409627-0.000182803433732866i</v>
      </c>
      <c r="AN18" s="10" t="str">
        <f t="shared" si="11"/>
        <v>-67.3504464894426+17.9757572739265i</v>
      </c>
      <c r="AO18" s="10">
        <f t="shared" si="12"/>
        <v>69.708037498543831</v>
      </c>
      <c r="AP18" s="10">
        <f t="shared" si="13"/>
        <v>2.8807734979565649</v>
      </c>
      <c r="AQ18" s="10">
        <f t="shared" si="14"/>
        <v>165.05616316605025</v>
      </c>
      <c r="AR18" s="10">
        <f t="shared" si="15"/>
        <v>36.865657122941144</v>
      </c>
      <c r="AS18" s="10">
        <f t="shared" si="16"/>
        <v>67.436083727221117</v>
      </c>
      <c r="AT18" s="10">
        <f t="shared" si="17"/>
        <v>162.36875042377051</v>
      </c>
    </row>
    <row r="19" spans="19:46" x14ac:dyDescent="0.25">
      <c r="S19" s="10" t="s">
        <v>124</v>
      </c>
      <c r="T19" s="10">
        <f>0.5*(comp_R2+Rotaesd)/(comp_R2*Rotaesd*comp_C2)*(1-(1-4*comp_R2*Rotaesd*comp_C2/((comp_R2+Rotaesd)^2*comp_C1))^0.5)</f>
        <v>2117.2559846249237</v>
      </c>
      <c r="Y19" s="10">
        <v>17</v>
      </c>
      <c r="Z19" s="10">
        <f t="shared" si="5"/>
        <v>3.2359365692962818</v>
      </c>
      <c r="AA19" s="10" t="str">
        <f t="shared" si="6"/>
        <v>20.3319891071675i</v>
      </c>
      <c r="AC19" s="10">
        <f>1/(2*$T$3+$T$6*$T$2/('4. Boost Inductor'!$B$11*$T$3^2)*($T$5-0.5))</f>
        <v>0.16903313049357674</v>
      </c>
      <c r="AD19" s="10" t="str">
        <f t="shared" si="7"/>
        <v>0.997473207104222-0.0501021103131252i</v>
      </c>
      <c r="AE19" s="10" t="str">
        <f t="shared" si="8"/>
        <v>0.999999998976271-0.0000664042764087604i</v>
      </c>
      <c r="AF19" s="10" t="str">
        <f t="shared" si="9"/>
        <v>33.7210912470824-1.69602254051349i</v>
      </c>
      <c r="AG19" s="10">
        <f t="shared" si="10"/>
        <v>33.763715544234564</v>
      </c>
      <c r="AH19" s="10">
        <f t="shared" si="0"/>
        <v>-5.0253254906850009E-2</v>
      </c>
      <c r="AI19" s="10">
        <f t="shared" si="1"/>
        <v>-2.8792994129576006</v>
      </c>
      <c r="AJ19" s="10">
        <f t="shared" si="2"/>
        <v>30.569004654551119</v>
      </c>
      <c r="AL19" s="10" t="str">
        <f t="shared" si="3"/>
        <v>0.922012184826266-0.263393900338188i</v>
      </c>
      <c r="AM19" s="10" t="str">
        <f t="shared" si="4"/>
        <v>0.999999961433092-0.000195877407328644i</v>
      </c>
      <c r="AN19" s="10" t="str">
        <f t="shared" si="11"/>
        <v>-66.6738746289435+19.0610460317205i</v>
      </c>
      <c r="AO19" s="10">
        <f t="shared" si="12"/>
        <v>69.345000063879453</v>
      </c>
      <c r="AP19" s="10">
        <f t="shared" si="13"/>
        <v>2.8631353741756143</v>
      </c>
      <c r="AQ19" s="10">
        <f t="shared" si="14"/>
        <v>164.04557311487244</v>
      </c>
      <c r="AR19" s="10">
        <f t="shared" si="15"/>
        <v>36.820303057876551</v>
      </c>
      <c r="AS19" s="10">
        <f t="shared" si="16"/>
        <v>67.389307712427666</v>
      </c>
      <c r="AT19" s="10">
        <f t="shared" si="17"/>
        <v>161.16627370191483</v>
      </c>
    </row>
    <row r="20" spans="19:46" x14ac:dyDescent="0.25">
      <c r="S20" s="10" t="s">
        <v>125</v>
      </c>
      <c r="T20" s="10">
        <f>0.5*(comp_R2+Rotaesd)/(comp_R2*Rotaesd*comp_C2)*(1+(1-4*comp_R2*Rotaesd*comp_C2/((comp_R2+Rotaesd)^2*comp_C1))^0.5)</f>
        <v>20018201.46911497</v>
      </c>
      <c r="Y20" s="10">
        <v>18</v>
      </c>
      <c r="Z20" s="10">
        <f t="shared" si="5"/>
        <v>3.4673685045253162</v>
      </c>
      <c r="AA20" s="10" t="str">
        <f t="shared" si="6"/>
        <v>21.7861188422107i</v>
      </c>
      <c r="AC20" s="10">
        <f>1/(2*$T$3+$T$6*$T$2/('4. Boost Inductor'!$B$11*$T$3^2)*($T$5-0.5))</f>
        <v>0.16903313049357674</v>
      </c>
      <c r="AD20" s="10" t="str">
        <f t="shared" si="7"/>
        <v>0.997099943626741-0.0536652073548503i</v>
      </c>
      <c r="AE20" s="10" t="str">
        <f t="shared" si="8"/>
        <v>0.999999998824602-0.0000711534641199003i</v>
      </c>
      <c r="AF20" s="10" t="str">
        <f t="shared" si="9"/>
        <v>33.7084558481861-1.81663808001471i</v>
      </c>
      <c r="AG20" s="10">
        <f t="shared" si="10"/>
        <v>33.757372077560646</v>
      </c>
      <c r="AH20" s="10">
        <f t="shared" si="0"/>
        <v>-5.384056712667129E-2</v>
      </c>
      <c r="AI20" s="10">
        <f t="shared" si="1"/>
        <v>-3.0848372629490668</v>
      </c>
      <c r="AJ20" s="10">
        <f t="shared" si="2"/>
        <v>30.567372611775884</v>
      </c>
      <c r="AL20" s="10" t="str">
        <f t="shared" si="3"/>
        <v>0.911514653008959-0.278901158281151i</v>
      </c>
      <c r="AM20" s="10" t="str">
        <f t="shared" si="4"/>
        <v>0.999999955719265-0.000209886422207059i</v>
      </c>
      <c r="AN20" s="10" t="str">
        <f t="shared" si="11"/>
        <v>-65.9142168945769+20.183266617797i</v>
      </c>
      <c r="AO20" s="10">
        <f t="shared" si="12"/>
        <v>68.935101655037869</v>
      </c>
      <c r="AP20" s="10">
        <f t="shared" si="13"/>
        <v>2.8444529119050257</v>
      </c>
      <c r="AQ20" s="10">
        <f t="shared" si="14"/>
        <v>162.97514687585533</v>
      </c>
      <c r="AR20" s="10">
        <f t="shared" si="15"/>
        <v>36.768808407151738</v>
      </c>
      <c r="AS20" s="10">
        <f t="shared" si="16"/>
        <v>67.336181018927618</v>
      </c>
      <c r="AT20" s="10">
        <f t="shared" si="17"/>
        <v>159.89030961290626</v>
      </c>
    </row>
    <row r="21" spans="19:46" x14ac:dyDescent="0.25">
      <c r="S21" s="10" t="s">
        <v>126</v>
      </c>
      <c r="T21" s="10">
        <f>0.5*(R0+comp_R2+Rotaesd)/(comp_R2*(R0+Rotaesd)*comp_C2)*(1-(1-4*comp_R2*(R0++Rotaesd)*comp_C2/((R0+comp_R2+Rotaesd)^2*comp_C1))^0.5)</f>
        <v>68.668700368644679</v>
      </c>
      <c r="Y21" s="10">
        <v>19</v>
      </c>
      <c r="Z21" s="10">
        <f t="shared" si="5"/>
        <v>3.7153522909717256</v>
      </c>
      <c r="AA21" s="10" t="str">
        <f t="shared" si="6"/>
        <v>23.3442469256296i</v>
      </c>
      <c r="AC21" s="10">
        <f>1/(2*$T$3+$T$6*$T$2/('4. Boost Inductor'!$B$11*$T$3^2)*($T$5-0.5))</f>
        <v>0.16903313049357674</v>
      </c>
      <c r="AD21" s="10" t="str">
        <f t="shared" si="7"/>
        <v>0.996671725566836-0.0574785098727172i</v>
      </c>
      <c r="AE21" s="10" t="str">
        <f t="shared" si="8"/>
        <v>0.999999998650462-0.0000762423104360267i</v>
      </c>
      <c r="AF21" s="10" t="str">
        <f t="shared" si="9"/>
        <v>33.69396017334-1.94572340602607i</v>
      </c>
      <c r="AG21" s="10">
        <f t="shared" si="10"/>
        <v>33.750093210765797</v>
      </c>
      <c r="AH21" s="10">
        <f t="shared" si="0"/>
        <v>-5.7682887535074216E-2</v>
      </c>
      <c r="AI21" s="10">
        <f t="shared" si="1"/>
        <v>-3.3049860058875371</v>
      </c>
      <c r="AJ21" s="10">
        <f t="shared" si="2"/>
        <v>30.565499532001816</v>
      </c>
      <c r="AL21" s="10" t="str">
        <f t="shared" si="3"/>
        <v>0.89976332042638-0.294853054695535i</v>
      </c>
      <c r="AM21" s="10" t="str">
        <f t="shared" si="4"/>
        <v>0.999999949158914-0.000224897351819059i</v>
      </c>
      <c r="AN21" s="10" t="str">
        <f t="shared" si="11"/>
        <v>-65.0638274082872+21.3376659324419i</v>
      </c>
      <c r="AO21" s="10">
        <f t="shared" si="12"/>
        <v>68.4733351346338</v>
      </c>
      <c r="AP21" s="10">
        <f t="shared" si="13"/>
        <v>2.8246951241564426</v>
      </c>
      <c r="AQ21" s="10">
        <f t="shared" si="14"/>
        <v>161.84310902534622</v>
      </c>
      <c r="AR21" s="10">
        <f t="shared" si="15"/>
        <v>36.710429631771049</v>
      </c>
      <c r="AS21" s="10">
        <f t="shared" si="16"/>
        <v>67.275929163772872</v>
      </c>
      <c r="AT21" s="10">
        <f t="shared" si="17"/>
        <v>158.53812301945868</v>
      </c>
    </row>
    <row r="22" spans="19:46" x14ac:dyDescent="0.25">
      <c r="S22" s="10" t="s">
        <v>127</v>
      </c>
      <c r="T22" s="10">
        <f>0.5*(R0+comp_R2+Rotaesd)/(comp_R2*(R0+Rotaesd)*comp_C2)*(1+(1-4*comp_R2*(R0++Rotaesd)*comp_C2/((R0+comp_R2+Rotaesd)^2*comp_C1))^0.5)</f>
        <v>103264.1069485061</v>
      </c>
      <c r="Y22" s="10">
        <v>20</v>
      </c>
      <c r="Z22" s="10">
        <f t="shared" si="5"/>
        <v>3.9810717055349727</v>
      </c>
      <c r="AA22" s="10" t="str">
        <f t="shared" si="6"/>
        <v>25.0138112470457i</v>
      </c>
      <c r="AC22" s="10">
        <f>1/(2*$T$3+$T$6*$T$2/('4. Boost Inductor'!$B$11*$T$3^2)*($T$5-0.5))</f>
        <v>0.16903313049357674</v>
      </c>
      <c r="AD22" s="10" t="str">
        <f t="shared" si="7"/>
        <v>0.996180520649407-0.0615588556758403i</v>
      </c>
      <c r="AE22" s="10" t="str">
        <f t="shared" si="8"/>
        <v>0.999999998450523-0.0000816951075044571i</v>
      </c>
      <c r="AF22" s="10" t="str">
        <f t="shared" si="9"/>
        <v>33.6773323207747-2.08384850085141i</v>
      </c>
      <c r="AG22" s="10">
        <f t="shared" si="10"/>
        <v>33.741741757330743</v>
      </c>
      <c r="AH22" s="10">
        <f t="shared" si="0"/>
        <v>-6.1798097985846526E-2</v>
      </c>
      <c r="AI22" s="10">
        <f t="shared" si="1"/>
        <v>-3.5407701965249192</v>
      </c>
      <c r="AJ22" s="10">
        <f t="shared" si="2"/>
        <v>30.563349944477373</v>
      </c>
      <c r="AL22" s="10" t="str">
        <f t="shared" si="3"/>
        <v>0.886652573870346-0.31116491467783i</v>
      </c>
      <c r="AM22" s="10" t="str">
        <f t="shared" si="4"/>
        <v>0.999999941626624-0.000240981852346378i</v>
      </c>
      <c r="AN22" s="10" t="str">
        <f t="shared" si="11"/>
        <v>-64.1150634314304+22.5181166100899i</v>
      </c>
      <c r="AO22" s="10">
        <f t="shared" si="12"/>
        <v>67.954447495965638</v>
      </c>
      <c r="AP22" s="10">
        <f t="shared" si="13"/>
        <v>2.803836608278369</v>
      </c>
      <c r="AQ22" s="10">
        <f t="shared" si="14"/>
        <v>160.64800409862599</v>
      </c>
      <c r="AR22" s="10">
        <f t="shared" si="15"/>
        <v>36.644357715777154</v>
      </c>
      <c r="AS22" s="10">
        <f t="shared" si="16"/>
        <v>67.207707660254528</v>
      </c>
      <c r="AT22" s="10">
        <f t="shared" si="17"/>
        <v>157.10723390210106</v>
      </c>
    </row>
    <row r="23" spans="19:46" x14ac:dyDescent="0.25">
      <c r="S23" s="10" t="s">
        <v>128</v>
      </c>
      <c r="T23" s="10">
        <f>$B$9*10^-9</f>
        <v>4.7000000000000007E-9</v>
      </c>
      <c r="U23" s="10" t="s">
        <v>120</v>
      </c>
      <c r="Y23" s="10">
        <v>21</v>
      </c>
      <c r="Z23" s="10">
        <f t="shared" si="5"/>
        <v>4.2657951880159262</v>
      </c>
      <c r="AA23" s="10" t="str">
        <f t="shared" si="6"/>
        <v>26.802781648779i</v>
      </c>
      <c r="AC23" s="10">
        <f>1/(2*$T$3+$T$6*$T$2/('4. Boost Inductor'!$B$11*$T$3^2)*($T$5-0.5))</f>
        <v>0.16903313049357674</v>
      </c>
      <c r="AD23" s="10" t="str">
        <f t="shared" si="7"/>
        <v>0.995617141117511-0.0659240468431331i</v>
      </c>
      <c r="AE23" s="10" t="str">
        <f t="shared" si="8"/>
        <v>0.999999998220963-0.0000875378848299798i</v>
      </c>
      <c r="AF23" s="10" t="str">
        <f t="shared" si="9"/>
        <v>33.658261274329-2.23161598865739i</v>
      </c>
      <c r="AG23" s="10">
        <f t="shared" si="10"/>
        <v>33.732160647249188</v>
      </c>
      <c r="AH23" s="10">
        <f t="shared" si="0"/>
        <v>-6.6205277899705595E-2</v>
      </c>
      <c r="AI23" s="10">
        <f t="shared" si="1"/>
        <v>-3.793283005143874</v>
      </c>
      <c r="AJ23" s="10">
        <f t="shared" si="2"/>
        <v>30.560883199191501</v>
      </c>
      <c r="AL23" s="10" t="str">
        <f t="shared" si="3"/>
        <v>0.872079888835694-0.327731199685597i</v>
      </c>
      <c r="AM23" s="10" t="str">
        <f t="shared" si="4"/>
        <v>0.999999932978397-0.000258216704756366i</v>
      </c>
      <c r="AN23" s="10" t="str">
        <f t="shared" si="11"/>
        <v>-63.060505740441+23.7169814921108i</v>
      </c>
      <c r="AO23" s="10">
        <f t="shared" si="12"/>
        <v>67.373010882231767</v>
      </c>
      <c r="AP23" s="10">
        <f t="shared" si="13"/>
        <v>2.7818589867094734</v>
      </c>
      <c r="AQ23" s="10">
        <f t="shared" si="14"/>
        <v>159.38877913899259</v>
      </c>
      <c r="AR23" s="10">
        <f t="shared" si="15"/>
        <v>36.569719125863152</v>
      </c>
      <c r="AS23" s="10">
        <f t="shared" si="16"/>
        <v>67.130602325054653</v>
      </c>
      <c r="AT23" s="10">
        <f t="shared" si="17"/>
        <v>155.59549613384871</v>
      </c>
    </row>
    <row r="24" spans="19:46" x14ac:dyDescent="0.25">
      <c r="S24" s="10" t="s">
        <v>129</v>
      </c>
      <c r="T24" s="10">
        <f>$B$10*10^-9</f>
        <v>1.0000000000000002E-10</v>
      </c>
      <c r="U24" s="10" t="s">
        <v>120</v>
      </c>
      <c r="Y24" s="10">
        <v>22</v>
      </c>
      <c r="Z24" s="10">
        <f t="shared" si="5"/>
        <v>4.570881896148749</v>
      </c>
      <c r="AA24" s="10" t="str">
        <f t="shared" si="6"/>
        <v>28.719697970735i</v>
      </c>
      <c r="AC24" s="10">
        <f>1/(2*$T$3+$T$6*$T$2/('4. Boost Inductor'!$B$11*$T$3^2)*($T$5-0.5))</f>
        <v>0.16903313049357674</v>
      </c>
      <c r="AD24" s="10" t="str">
        <f t="shared" si="7"/>
        <v>0.994971083378228-0.0705928648081479i</v>
      </c>
      <c r="AE24" s="10" t="str">
        <f t="shared" si="8"/>
        <v>0.999999997957392-0.0000937985335294443i</v>
      </c>
      <c r="AF24" s="10" t="str">
        <f t="shared" si="9"/>
        <v>33.6363914752771-2.38966164612845i</v>
      </c>
      <c r="AG24" s="10">
        <f t="shared" si="10"/>
        <v>33.721170119986517</v>
      </c>
      <c r="AH24" s="10">
        <f t="shared" si="0"/>
        <v>-7.0924771464199024E-2</v>
      </c>
      <c r="AI24" s="10">
        <f t="shared" si="1"/>
        <v>-4.0636900678285004</v>
      </c>
      <c r="AJ24" s="10">
        <f t="shared" si="2"/>
        <v>30.558052723464755</v>
      </c>
      <c r="AL24" s="10" t="str">
        <f t="shared" si="3"/>
        <v>0.855949589954963-0.344424041486878i</v>
      </c>
      <c r="AM24" s="10" t="str">
        <f t="shared" si="4"/>
        <v>0.999999923048905-0.000276684181319707i</v>
      </c>
      <c r="AN24" s="10" t="str">
        <f t="shared" si="11"/>
        <v>-61.8932307520541+24.9250075363673i</v>
      </c>
      <c r="AO24" s="10">
        <f t="shared" si="12"/>
        <v>66.723519193871823</v>
      </c>
      <c r="AP24" s="10">
        <f t="shared" si="13"/>
        <v>2.7587524692959349</v>
      </c>
      <c r="AQ24" s="10">
        <f t="shared" si="14"/>
        <v>158.06487321195129</v>
      </c>
      <c r="AR24" s="10">
        <f t="shared" si="15"/>
        <v>36.485578883940562</v>
      </c>
      <c r="AS24" s="10">
        <f t="shared" si="16"/>
        <v>67.043631607405317</v>
      </c>
      <c r="AT24" s="10">
        <f t="shared" si="17"/>
        <v>154.00118314412279</v>
      </c>
    </row>
    <row r="25" spans="19:46" x14ac:dyDescent="0.25">
      <c r="Y25" s="10">
        <v>23</v>
      </c>
      <c r="Z25" s="10">
        <f t="shared" si="5"/>
        <v>4.8977881936844616</v>
      </c>
      <c r="AA25" s="10" t="str">
        <f t="shared" si="6"/>
        <v>30.7737108162359i</v>
      </c>
      <c r="AC25" s="10">
        <f>1/(2*$T$3+$T$6*$T$2/('4. Boost Inductor'!$B$11*$T$3^2)*($T$5-0.5))</f>
        <v>0.16903313049357674</v>
      </c>
      <c r="AD25" s="10" t="str">
        <f t="shared" si="7"/>
        <v>0.99423034726134-0.0755850746750598i</v>
      </c>
      <c r="AE25" s="10" t="str">
        <f t="shared" si="8"/>
        <v>0.999999997654772-0.000100506939472954i</v>
      </c>
      <c r="AF25" s="10" t="str">
        <f t="shared" si="9"/>
        <v>33.611316704027-2.55865454858451i</v>
      </c>
      <c r="AG25" s="10">
        <f t="shared" si="10"/>
        <v>33.708564544895651</v>
      </c>
      <c r="AH25" s="10">
        <f t="shared" si="0"/>
        <v>-7.5978255505120398E-2</v>
      </c>
      <c r="AI25" s="10">
        <f t="shared" si="1"/>
        <v>-4.3532333752100119</v>
      </c>
      <c r="AJ25" s="10">
        <f t="shared" si="2"/>
        <v>30.554805175898885</v>
      </c>
      <c r="AL25" s="10" t="str">
        <f t="shared" si="3"/>
        <v>0.838177316579363-0.361092408615183i</v>
      </c>
      <c r="AM25" s="10" t="str">
        <f t="shared" si="4"/>
        <v>0.999999911648323-0.000296472438340444i</v>
      </c>
      <c r="AN25" s="10" t="str">
        <f t="shared" si="11"/>
        <v>-60.6071336766947+26.1312654983278i</v>
      </c>
      <c r="AO25" s="10">
        <f t="shared" si="12"/>
        <v>66.000512793832428</v>
      </c>
      <c r="AP25" s="10">
        <f t="shared" si="13"/>
        <v>2.7345175003512541</v>
      </c>
      <c r="AQ25" s="10">
        <f t="shared" si="14"/>
        <v>156.67631177479046</v>
      </c>
      <c r="AR25" s="10">
        <f t="shared" si="15"/>
        <v>36.390946196493921</v>
      </c>
      <c r="AS25" s="10">
        <f t="shared" si="16"/>
        <v>66.945751372392806</v>
      </c>
      <c r="AT25" s="10">
        <f t="shared" si="17"/>
        <v>152.32307839958045</v>
      </c>
    </row>
    <row r="26" spans="19:46" x14ac:dyDescent="0.25">
      <c r="Y26" s="10">
        <v>24</v>
      </c>
      <c r="Z26" s="10">
        <f t="shared" si="5"/>
        <v>5.2480746024977245</v>
      </c>
      <c r="AA26" s="10" t="str">
        <f t="shared" si="6"/>
        <v>32.974625233396i</v>
      </c>
      <c r="AC26" s="10">
        <f>1/(2*$T$3+$T$6*$T$2/('4. Boost Inductor'!$B$11*$T$3^2)*($T$5-0.5))</f>
        <v>0.16903313049357674</v>
      </c>
      <c r="AD26" s="10" t="str">
        <f t="shared" si="7"/>
        <v>0.993381232903281-0.0809214154927259i</v>
      </c>
      <c r="AE26" s="10" t="str">
        <f t="shared" si="8"/>
        <v>0.999999997307318-0.000107695125947224i</v>
      </c>
      <c r="AF26" s="10" t="str">
        <f t="shared" si="9"/>
        <v>33.582573204408-2.73929674076475i</v>
      </c>
      <c r="AG26" s="10">
        <f t="shared" si="10"/>
        <v>33.69410882726217</v>
      </c>
      <c r="AH26" s="10">
        <f t="shared" si="0"/>
        <v>-8.1388807171562161E-2</v>
      </c>
      <c r="AI26" s="10">
        <f t="shared" si="1"/>
        <v>-4.6632351505345992</v>
      </c>
      <c r="AJ26" s="10">
        <f t="shared" si="2"/>
        <v>30.551079484805438</v>
      </c>
      <c r="AL26" s="10" t="str">
        <f t="shared" si="3"/>
        <v>0.81869511704921-0.377562158617376i</v>
      </c>
      <c r="AM26" s="10" t="str">
        <f t="shared" si="4"/>
        <v>0.999999898558703-0.000317675936972831i</v>
      </c>
      <c r="AN26" s="10" t="str">
        <f t="shared" si="11"/>
        <v>-59.1972971672084+27.3231537129715i</v>
      </c>
      <c r="AO26" s="10">
        <f t="shared" si="12"/>
        <v>65.198732508580619</v>
      </c>
      <c r="AP26" s="10">
        <f t="shared" si="13"/>
        <v>2.7091664364599972</v>
      </c>
      <c r="AQ26" s="10">
        <f t="shared" si="14"/>
        <v>155.22380280765495</v>
      </c>
      <c r="AR26" s="10">
        <f t="shared" si="15"/>
        <v>36.284783058847019</v>
      </c>
      <c r="AS26" s="10">
        <f t="shared" si="16"/>
        <v>66.835862543652453</v>
      </c>
      <c r="AT26" s="10">
        <f t="shared" si="17"/>
        <v>150.56056765712034</v>
      </c>
    </row>
    <row r="27" spans="19:46" x14ac:dyDescent="0.25">
      <c r="Y27" s="10">
        <v>25</v>
      </c>
      <c r="Z27" s="10">
        <f t="shared" si="5"/>
        <v>5.6234132519034903</v>
      </c>
      <c r="AA27" s="10" t="str">
        <f t="shared" si="6"/>
        <v>35.332947520559i</v>
      </c>
      <c r="AC27" s="10">
        <f>1/(2*$T$3+$T$6*$T$2/('4. Boost Inductor'!$B$11*$T$3^2)*($T$5-0.5))</f>
        <v>0.16903313049357674</v>
      </c>
      <c r="AD27" s="10" t="str">
        <f t="shared" si="7"/>
        <v>0.992408113283218-0.0866235724930139i</v>
      </c>
      <c r="AE27" s="10" t="str">
        <f t="shared" si="8"/>
        <v>0.999999996908388-0.00011539740652212i</v>
      </c>
      <c r="AF27" s="10" t="str">
        <f t="shared" si="9"/>
        <v>33.5496319837548-2.93232229708221i</v>
      </c>
      <c r="AG27" s="10">
        <f t="shared" si="10"/>
        <v>33.677534355996855</v>
      </c>
      <c r="AH27" s="10">
        <f t="shared" si="0"/>
        <v>-8.7180970325302795E-2</v>
      </c>
      <c r="AI27" s="10">
        <f t="shared" si="1"/>
        <v>-4.9951016534951211</v>
      </c>
      <c r="AJ27" s="10">
        <f t="shared" si="2"/>
        <v>30.546805757037433</v>
      </c>
      <c r="AL27" s="10" t="str">
        <f t="shared" si="3"/>
        <v>0.797457010014713-0.393637238528607i</v>
      </c>
      <c r="AM27" s="10" t="str">
        <f t="shared" si="4"/>
        <v>0.999999883529809-0.000340395894133533i</v>
      </c>
      <c r="AN27" s="10" t="str">
        <f t="shared" si="11"/>
        <v>-57.6603937658606+28.4864849686317i</v>
      </c>
      <c r="AO27" s="10">
        <f t="shared" si="12"/>
        <v>64.313302162944296</v>
      </c>
      <c r="AP27" s="10">
        <f t="shared" si="13"/>
        <v>2.6827251824834315</v>
      </c>
      <c r="AQ27" s="10">
        <f t="shared" si="14"/>
        <v>153.70883054976423</v>
      </c>
      <c r="AR27" s="10">
        <f t="shared" si="15"/>
        <v>36.166016179628372</v>
      </c>
      <c r="AS27" s="10">
        <f t="shared" si="16"/>
        <v>66.712821936665804</v>
      </c>
      <c r="AT27" s="10">
        <f t="shared" si="17"/>
        <v>148.71372889626912</v>
      </c>
    </row>
    <row r="28" spans="19:46" x14ac:dyDescent="0.25">
      <c r="Y28" s="10">
        <v>26</v>
      </c>
      <c r="Z28" s="10">
        <f t="shared" si="5"/>
        <v>6.0255958607435751</v>
      </c>
      <c r="AA28" s="10" t="str">
        <f t="shared" si="6"/>
        <v>37.8599353792262i</v>
      </c>
      <c r="AC28" s="10">
        <f>1/(2*$T$3+$T$6*$T$2/('4. Boost Inductor'!$B$11*$T$3^2)*($T$5-0.5))</f>
        <v>0.16903313049357674</v>
      </c>
      <c r="AD28" s="10" t="str">
        <f t="shared" si="7"/>
        <v>0.991293180543146-0.0927141264502771i</v>
      </c>
      <c r="AE28" s="10" t="str">
        <f t="shared" si="8"/>
        <v>0.999999996450354-0.0001236505488501i</v>
      </c>
      <c r="AF28" s="10" t="str">
        <f t="shared" si="9"/>
        <v>33.5118902255505-3.13849560740434i</v>
      </c>
      <c r="AG28" s="10">
        <f t="shared" si="10"/>
        <v>33.658534447700532</v>
      </c>
      <c r="AH28" s="10">
        <f t="shared" si="0"/>
        <v>-9.3380819219476024E-2</v>
      </c>
      <c r="AI28" s="10">
        <f t="shared" si="1"/>
        <v>-5.3503268287500987</v>
      </c>
      <c r="AJ28" s="10">
        <f t="shared" si="2"/>
        <v>30.54190404198614</v>
      </c>
      <c r="AL28" s="10" t="str">
        <f t="shared" si="3"/>
        <v>0.774444751646381-0.409102276869403i</v>
      </c>
      <c r="AM28" s="10" t="str">
        <f t="shared" si="4"/>
        <v>0.999999866274331-0.000364740765661285i</v>
      </c>
      <c r="AN28" s="10" t="str">
        <f t="shared" si="11"/>
        <v>-55.9951032506113+29.6056740789222i</v>
      </c>
      <c r="AO28" s="10">
        <f t="shared" si="12"/>
        <v>63.339936262313891</v>
      </c>
      <c r="AP28" s="10">
        <f t="shared" si="13"/>
        <v>2.6552346949782337</v>
      </c>
      <c r="AQ28" s="10">
        <f t="shared" si="14"/>
        <v>152.13374163895926</v>
      </c>
      <c r="AR28" s="10">
        <f t="shared" si="15"/>
        <v>36.033552440288652</v>
      </c>
      <c r="AS28" s="10">
        <f t="shared" si="16"/>
        <v>66.575456482274788</v>
      </c>
      <c r="AT28" s="10">
        <f t="shared" si="17"/>
        <v>146.78341481020917</v>
      </c>
    </row>
    <row r="29" spans="19:46" x14ac:dyDescent="0.25">
      <c r="Y29" s="10">
        <v>27</v>
      </c>
      <c r="Z29" s="10">
        <f t="shared" si="5"/>
        <v>6.4565422903465537</v>
      </c>
      <c r="AA29" s="10" t="str">
        <f t="shared" si="6"/>
        <v>40.5676516538891i</v>
      </c>
      <c r="AC29" s="10">
        <f>1/(2*$T$3+$T$6*$T$2/('4. Boost Inductor'!$B$11*$T$3^2)*($T$5-0.5))</f>
        <v>0.16903313049357674</v>
      </c>
      <c r="AD29" s="10" t="str">
        <f t="shared" si="7"/>
        <v>0.990016164456204-0.0992164743273108i</v>
      </c>
      <c r="AE29" s="10" t="str">
        <f t="shared" si="8"/>
        <v>0.999999995924461-0.000132493950180479i</v>
      </c>
      <c r="AF29" s="10" t="str">
        <f t="shared" si="9"/>
        <v>33.4686617592545-3.35860869084927i</v>
      </c>
      <c r="AG29" s="10">
        <f t="shared" si="10"/>
        <v>33.636759241841851</v>
      </c>
      <c r="AH29" s="10">
        <f t="shared" si="0"/>
        <v>-0.1000160176819274</v>
      </c>
      <c r="AI29" s="10">
        <f t="shared" si="1"/>
        <v>-5.7304956968802552</v>
      </c>
      <c r="AJ29" s="10">
        <f t="shared" si="2"/>
        <v>30.53628293444158</v>
      </c>
      <c r="AL29" s="10" t="str">
        <f t="shared" si="3"/>
        <v>0.749673442996101-0.42372675361817i</v>
      </c>
      <c r="AM29" s="10" t="str">
        <f t="shared" si="4"/>
        <v>0.999999846462391-0.000390826764030026i</v>
      </c>
      <c r="AN29" s="10" t="str">
        <f t="shared" si="11"/>
        <v>-54.2025184138332+30.6640396455086i</v>
      </c>
      <c r="AO29" s="10">
        <f t="shared" si="12"/>
        <v>62.275166236496304</v>
      </c>
      <c r="AP29" s="10">
        <f t="shared" si="13"/>
        <v>2.626752246654438</v>
      </c>
      <c r="AQ29" s="10">
        <f t="shared" si="14"/>
        <v>150.50181755980631</v>
      </c>
      <c r="AR29" s="10">
        <f t="shared" si="15"/>
        <v>35.886297910199517</v>
      </c>
      <c r="AS29" s="10">
        <f t="shared" si="16"/>
        <v>66.422580844641089</v>
      </c>
      <c r="AT29" s="10">
        <f t="shared" si="17"/>
        <v>144.77132186292604</v>
      </c>
    </row>
    <row r="30" spans="19:46" x14ac:dyDescent="0.25">
      <c r="Y30" s="10">
        <v>28</v>
      </c>
      <c r="Z30" s="10">
        <f t="shared" si="5"/>
        <v>6.9183097091893631</v>
      </c>
      <c r="AA30" s="10" t="str">
        <f t="shared" si="6"/>
        <v>43.4690219152965i</v>
      </c>
      <c r="AC30" s="10">
        <f>1/(2*$T$3+$T$6*$T$2/('4. Boost Inductor'!$B$11*$T$3^2)*($T$5-0.5))</f>
        <v>0.16903313049357674</v>
      </c>
      <c r="AD30" s="10" t="str">
        <f t="shared" si="7"/>
        <v>0.988554021814466-0.106154714228422i</v>
      </c>
      <c r="AE30" s="10" t="str">
        <f t="shared" si="8"/>
        <v>0.999999995320655-0.000141969825426344i</v>
      </c>
      <c r="AF30" s="10" t="str">
        <f t="shared" si="9"/>
        <v>33.4191665457212-3.59347730133837i</v>
      </c>
      <c r="AG30" s="10">
        <f t="shared" si="10"/>
        <v>33.611810003715732</v>
      </c>
      <c r="AH30" s="10">
        <f t="shared" si="0"/>
        <v>-0.1071158715750738</v>
      </c>
      <c r="AI30" s="10">
        <f t="shared" si="1"/>
        <v>-6.1372873601170701</v>
      </c>
      <c r="AJ30" s="10">
        <f t="shared" si="2"/>
        <v>30.529837999142856</v>
      </c>
      <c r="AL30" s="10" t="str">
        <f t="shared" si="3"/>
        <v>0.723196516822582-0.437270833568458i</v>
      </c>
      <c r="AM30" s="10" t="str">
        <f t="shared" si="4"/>
        <v>0.999999823715243-0.000418778413086304i</v>
      </c>
      <c r="AN30" s="10" t="str">
        <f t="shared" si="11"/>
        <v>-52.286505935741+31.6442261924123i</v>
      </c>
      <c r="AO30" s="10">
        <f t="shared" si="12"/>
        <v>61.116575119069218</v>
      </c>
      <c r="AP30" s="10">
        <f t="shared" si="13"/>
        <v>2.597352335525037</v>
      </c>
      <c r="AQ30" s="10">
        <f t="shared" si="14"/>
        <v>148.81732673403195</v>
      </c>
      <c r="AR30" s="10">
        <f t="shared" si="15"/>
        <v>35.7231801808014</v>
      </c>
      <c r="AS30" s="10">
        <f t="shared" si="16"/>
        <v>66.253018179944263</v>
      </c>
      <c r="AT30" s="10">
        <f t="shared" si="17"/>
        <v>142.68003937391489</v>
      </c>
    </row>
    <row r="31" spans="19:46" x14ac:dyDescent="0.25">
      <c r="Y31" s="10">
        <v>29</v>
      </c>
      <c r="Z31" s="10">
        <f t="shared" si="5"/>
        <v>7.4131024130091765</v>
      </c>
      <c r="AA31" s="10" t="str">
        <f t="shared" si="6"/>
        <v>46.5778961620368i</v>
      </c>
      <c r="AC31" s="10">
        <f>1/(2*$T$3+$T$6*$T$2/('4. Boost Inductor'!$B$11*$T$3^2)*($T$5-0.5))</f>
        <v>0.16903313049357674</v>
      </c>
      <c r="AD31" s="10" t="str">
        <f t="shared" si="7"/>
        <v>0.986880596149268-0.113553486376949i</v>
      </c>
      <c r="AE31" s="10" t="str">
        <f t="shared" si="8"/>
        <v>0.999999994627393-0.000152123408681885i</v>
      </c>
      <c r="AF31" s="10" t="str">
        <f t="shared" si="9"/>
        <v>33.3625191583411-3.84393554452735i</v>
      </c>
      <c r="AG31" s="10">
        <f t="shared" si="10"/>
        <v>33.583232796458972</v>
      </c>
      <c r="AH31" s="10">
        <f t="shared" si="0"/>
        <v>-0.11471137177562266</v>
      </c>
      <c r="AI31" s="10">
        <f t="shared" si="1"/>
        <v>-6.5724774648992907</v>
      </c>
      <c r="AJ31" s="10">
        <f t="shared" si="2"/>
        <v>30.522449999284014</v>
      </c>
      <c r="AL31" s="10" t="str">
        <f t="shared" si="3"/>
        <v>0.695109577182907-0.449492802698988i</v>
      </c>
      <c r="AM31" s="10" t="str">
        <f t="shared" si="4"/>
        <v>0.999999797598023-0.000448729142458415i</v>
      </c>
      <c r="AN31" s="10" t="str">
        <f t="shared" si="11"/>
        <v>-50.2539842378183+32.5287423030071i</v>
      </c>
      <c r="AO31" s="10">
        <f t="shared" si="12"/>
        <v>59.863027050010878</v>
      </c>
      <c r="AP31" s="10">
        <f t="shared" si="13"/>
        <v>2.567127121256803</v>
      </c>
      <c r="AQ31" s="10">
        <f t="shared" si="14"/>
        <v>147.08554952158354</v>
      </c>
      <c r="AR31" s="10">
        <f t="shared" si="15"/>
        <v>35.543173474232333</v>
      </c>
      <c r="AS31" s="10">
        <f t="shared" si="16"/>
        <v>66.065623473516354</v>
      </c>
      <c r="AT31" s="10">
        <f t="shared" si="17"/>
        <v>140.51307205668425</v>
      </c>
    </row>
    <row r="32" spans="19:46" x14ac:dyDescent="0.25">
      <c r="Y32" s="10">
        <v>30</v>
      </c>
      <c r="Z32" s="10">
        <f t="shared" si="5"/>
        <v>7.943282347242814</v>
      </c>
      <c r="AA32" s="10" t="str">
        <f t="shared" si="6"/>
        <v>49.909114934975i</v>
      </c>
      <c r="AC32" s="10">
        <f>1/(2*$T$3+$T$6*$T$2/('4. Boost Inductor'!$B$11*$T$3^2)*($T$5-0.5))</f>
        <v>0.16903313049357674</v>
      </c>
      <c r="AD32" s="10" t="str">
        <f t="shared" si="7"/>
        <v>0.984966248148665-0.121437760376279i</v>
      </c>
      <c r="AE32" s="10" t="str">
        <f t="shared" si="8"/>
        <v>0.999999993831422-0.000163003169152086i</v>
      </c>
      <c r="AF32" s="10" t="str">
        <f t="shared" si="9"/>
        <v>33.2977162722457-4.11082867637379i</v>
      </c>
      <c r="AG32" s="10">
        <f t="shared" si="10"/>
        <v>33.55051149168181</v>
      </c>
      <c r="AH32" s="10">
        <f t="shared" si="0"/>
        <v>-0.12283522429318965</v>
      </c>
      <c r="AI32" s="10">
        <f t="shared" si="1"/>
        <v>-7.0379399275426069</v>
      </c>
      <c r="AJ32" s="10">
        <f t="shared" si="2"/>
        <v>30.513982911156337</v>
      </c>
      <c r="AL32" s="10" t="str">
        <f t="shared" si="3"/>
        <v>0.665552549391102-0.460157865048123i</v>
      </c>
      <c r="AM32" s="10" t="str">
        <f t="shared" si="4"/>
        <v>0.999999767611444-0.000480821924473937i</v>
      </c>
      <c r="AN32" s="10" t="str">
        <f t="shared" si="11"/>
        <v>-48.1150790653351+33.3005972105154i</v>
      </c>
      <c r="AO32" s="10">
        <f t="shared" si="12"/>
        <v>58.514875100613821</v>
      </c>
      <c r="AP32" s="10">
        <f t="shared" si="13"/>
        <v>2.5361862818746976</v>
      </c>
      <c r="AQ32" s="10">
        <f t="shared" si="14"/>
        <v>145.31277001039675</v>
      </c>
      <c r="AR32" s="10">
        <f t="shared" si="15"/>
        <v>35.34532564742905</v>
      </c>
      <c r="AS32" s="10">
        <f t="shared" si="16"/>
        <v>65.859308558585383</v>
      </c>
      <c r="AT32" s="10">
        <f t="shared" si="17"/>
        <v>138.27483008285415</v>
      </c>
    </row>
    <row r="33" spans="25:46" x14ac:dyDescent="0.25">
      <c r="Y33" s="10">
        <v>31</v>
      </c>
      <c r="Z33" s="10">
        <f t="shared" si="5"/>
        <v>8.5113803820237646</v>
      </c>
      <c r="AA33" s="10" t="str">
        <f t="shared" si="6"/>
        <v>53.4785801601483i</v>
      </c>
      <c r="AC33" s="10">
        <f>1/(2*$T$3+$T$6*$T$2/('4. Boost Inductor'!$B$11*$T$3^2)*($T$5-0.5))</f>
        <v>0.16903313049357674</v>
      </c>
      <c r="AD33" s="10" t="str">
        <f t="shared" si="7"/>
        <v>0.982777458489824-0.129832557418442i</v>
      </c>
      <c r="AE33" s="10" t="str">
        <f t="shared" si="8"/>
        <v>0.999999992917526-0.000174661042525567i</v>
      </c>
      <c r="AF33" s="10" t="str">
        <f t="shared" si="9"/>
        <v>33.223623219726-4.39500369960706i</v>
      </c>
      <c r="AG33" s="10">
        <f t="shared" si="10"/>
        <v>33.51306010148695</v>
      </c>
      <c r="AH33" s="10">
        <f t="shared" si="0"/>
        <v>-0.13152186341652855</v>
      </c>
      <c r="AI33" s="10">
        <f t="shared" si="1"/>
        <v>-7.5356476874631477</v>
      </c>
      <c r="AJ33" s="10">
        <f t="shared" si="2"/>
        <v>30.50428170771271</v>
      </c>
      <c r="AL33" s="10" t="str">
        <f t="shared" si="3"/>
        <v>0.634709651580569-0.469047858190222i</v>
      </c>
      <c r="AM33" s="10" t="str">
        <f t="shared" si="4"/>
        <v>0.999999733182247-0.000515209956625075i</v>
      </c>
      <c r="AN33" s="10" t="str">
        <f t="shared" si="11"/>
        <v>-45.8831214294311+33.9440038635694i</v>
      </c>
      <c r="AO33" s="10">
        <f t="shared" si="12"/>
        <v>57.07412925658992</v>
      </c>
      <c r="AP33" s="10">
        <f t="shared" si="13"/>
        <v>2.5046562083796506</v>
      </c>
      <c r="AQ33" s="10">
        <f t="shared" si="14"/>
        <v>143.50622987139323</v>
      </c>
      <c r="AR33" s="10">
        <f t="shared" si="15"/>
        <v>35.128785889205055</v>
      </c>
      <c r="AS33" s="10">
        <f t="shared" si="16"/>
        <v>65.633067596917769</v>
      </c>
      <c r="AT33" s="10">
        <f t="shared" si="17"/>
        <v>135.97058218393008</v>
      </c>
    </row>
    <row r="34" spans="25:46" x14ac:dyDescent="0.25">
      <c r="Y34" s="10">
        <v>32</v>
      </c>
      <c r="Z34" s="10">
        <f t="shared" si="5"/>
        <v>9.1201083935590948</v>
      </c>
      <c r="AA34" s="10" t="str">
        <f t="shared" si="6"/>
        <v>57.3033310582957i</v>
      </c>
      <c r="AC34" s="10">
        <f>1/(2*$T$3+$T$6*$T$2/('4. Boost Inductor'!$B$11*$T$3^2)*($T$5-0.5))</f>
        <v>0.16903313049357674</v>
      </c>
      <c r="AD34" s="10" t="str">
        <f t="shared" si="7"/>
        <v>0.980276406669181-0.138762594412465i</v>
      </c>
      <c r="AE34" s="10" t="str">
        <f t="shared" si="8"/>
        <v>0.999999991868231-0.000187152678895021i</v>
      </c>
      <c r="AF34" s="10" t="str">
        <f t="shared" si="9"/>
        <v>33.1389597331482-4.69729731709416i</v>
      </c>
      <c r="AG34" s="10">
        <f t="shared" si="10"/>
        <v>33.470214434335453</v>
      </c>
      <c r="AH34" s="10">
        <f t="shared" si="0"/>
        <v>-0.14080744293137148</v>
      </c>
      <c r="AI34" s="10">
        <f t="shared" si="1"/>
        <v>-8.0676722039967821</v>
      </c>
      <c r="AJ34" s="10">
        <f t="shared" si="2"/>
        <v>30.493169895407881</v>
      </c>
      <c r="AL34" s="10" t="str">
        <f t="shared" si="3"/>
        <v>0.602806833035079-0.475971257989176i</v>
      </c>
      <c r="AM34" s="10" t="str">
        <f t="shared" si="4"/>
        <v>0.999999693652243-0.000552057392838403i</v>
      </c>
      <c r="AN34" s="10" t="str">
        <f t="shared" si="11"/>
        <v>-43.5744622309777+34.4451029255334i</v>
      </c>
      <c r="AO34" s="10">
        <f t="shared" si="12"/>
        <v>55.544566559380868</v>
      </c>
      <c r="AP34" s="10">
        <f t="shared" si="13"/>
        <v>2.4726784932524266</v>
      </c>
      <c r="AQ34" s="10">
        <f t="shared" si="14"/>
        <v>141.67404175613166</v>
      </c>
      <c r="AR34" s="10">
        <f t="shared" si="15"/>
        <v>34.892831642247003</v>
      </c>
      <c r="AS34" s="10">
        <f t="shared" si="16"/>
        <v>65.386001537654892</v>
      </c>
      <c r="AT34" s="10">
        <f t="shared" si="17"/>
        <v>133.60636955213488</v>
      </c>
    </row>
    <row r="35" spans="25:46" x14ac:dyDescent="0.25">
      <c r="Y35" s="10">
        <v>33</v>
      </c>
      <c r="Z35" s="10">
        <f t="shared" si="5"/>
        <v>9.7723722095581049</v>
      </c>
      <c r="AA35" s="10" t="str">
        <f t="shared" si="6"/>
        <v>61.4016254833856i</v>
      </c>
      <c r="AC35" s="10">
        <f>1/(2*$T$3+$T$6*$T$2/('4. Boost Inductor'!$B$11*$T$3^2)*($T$5-0.5))</f>
        <v>0.16903313049357674</v>
      </c>
      <c r="AD35" s="10" t="str">
        <f t="shared" si="7"/>
        <v>0.977420531918411-0.148251835287344i</v>
      </c>
      <c r="AE35" s="10" t="str">
        <f t="shared" si="8"/>
        <v>0.99999999066348-0.000200537708408758i</v>
      </c>
      <c r="AF35" s="10" t="str">
        <f t="shared" si="9"/>
        <v>33.0422850814533-5.01852074296181i</v>
      </c>
      <c r="AG35" s="10">
        <f t="shared" si="10"/>
        <v>33.421223105260061</v>
      </c>
      <c r="AH35" s="10">
        <f t="shared" si="0"/>
        <v>-0.15072979949053292</v>
      </c>
      <c r="AI35" s="10">
        <f t="shared" si="1"/>
        <v>-8.6361813576606821</v>
      </c>
      <c r="AJ35" s="10">
        <f t="shared" si="2"/>
        <v>30.480446791545571</v>
      </c>
      <c r="AL35" s="10" t="str">
        <f t="shared" si="3"/>
        <v>0.570106535935163-0.480772703359372i</v>
      </c>
      <c r="AM35" s="10" t="str">
        <f t="shared" si="4"/>
        <v>0.999999648265729-0.000591540127038323i</v>
      </c>
      <c r="AN35" s="10" t="str">
        <f t="shared" si="11"/>
        <v>-41.2080931924148+34.792652039108i</v>
      </c>
      <c r="AO35" s="10">
        <f t="shared" si="12"/>
        <v>53.93176782258476</v>
      </c>
      <c r="AP35" s="10">
        <f t="shared" si="13"/>
        <v>2.4404077191316524</v>
      </c>
      <c r="AQ35" s="10">
        <f t="shared" si="14"/>
        <v>139.82506259739128</v>
      </c>
      <c r="AR35" s="10">
        <f t="shared" si="15"/>
        <v>34.636893124105661</v>
      </c>
      <c r="AS35" s="10">
        <f t="shared" si="16"/>
        <v>65.117339915651229</v>
      </c>
      <c r="AT35" s="10">
        <f t="shared" si="17"/>
        <v>131.18888123973059</v>
      </c>
    </row>
    <row r="36" spans="25:46" x14ac:dyDescent="0.25">
      <c r="Y36" s="10">
        <v>34</v>
      </c>
      <c r="Z36" s="10">
        <f t="shared" si="5"/>
        <v>10.471285480508991</v>
      </c>
      <c r="AA36" s="10" t="str">
        <f t="shared" si="6"/>
        <v>65.793027078417i</v>
      </c>
      <c r="AC36" s="10">
        <f>1/(2*$T$3+$T$6*$T$2/('4. Boost Inductor'!$B$11*$T$3^2)*($T$5-0.5))</f>
        <v>0.16903313049357674</v>
      </c>
      <c r="AD36" s="10" t="str">
        <f t="shared" si="7"/>
        <v>0.974162085584136-0.158322933096437i</v>
      </c>
      <c r="AE36" s="10" t="str">
        <f t="shared" si="8"/>
        <v>0.999999989280241-0.000214880025921422i</v>
      </c>
      <c r="AF36" s="10" t="str">
        <f t="shared" si="9"/>
        <v>32.9319829176939-5.35944081722297i</v>
      </c>
      <c r="AG36" s="10">
        <f t="shared" si="10"/>
        <v>33.36523796954846</v>
      </c>
      <c r="AH36" s="10">
        <f t="shared" si="0"/>
        <v>-0.16132838113658768</v>
      </c>
      <c r="AI36" s="10">
        <f t="shared" si="1"/>
        <v>-9.2434353548044363</v>
      </c>
      <c r="AJ36" s="10">
        <f t="shared" si="2"/>
        <v>30.465884533978986</v>
      </c>
      <c r="AL36" s="10" t="str">
        <f t="shared" si="3"/>
        <v>0.536899906267179-0.483341213945487i</v>
      </c>
      <c r="AM36" s="10" t="str">
        <f t="shared" si="4"/>
        <v>0.999999596155045-0.000633846632742803i</v>
      </c>
      <c r="AN36" s="10" t="str">
        <f t="shared" si="11"/>
        <v>-38.80508319731+34.9786205036583i</v>
      </c>
      <c r="AO36" s="10">
        <f t="shared" si="12"/>
        <v>52.243070107805643</v>
      </c>
      <c r="AP36" s="10">
        <f t="shared" si="13"/>
        <v>2.4080086115137735</v>
      </c>
      <c r="AQ36" s="10">
        <f t="shared" si="14"/>
        <v>137.96873047089667</v>
      </c>
      <c r="AR36" s="10">
        <f t="shared" si="15"/>
        <v>34.360573813924162</v>
      </c>
      <c r="AS36" s="10">
        <f t="shared" si="16"/>
        <v>64.826458347903156</v>
      </c>
      <c r="AT36" s="10">
        <f t="shared" si="17"/>
        <v>128.72529511609224</v>
      </c>
    </row>
    <row r="37" spans="25:46" x14ac:dyDescent="0.25">
      <c r="Y37" s="10">
        <v>35</v>
      </c>
      <c r="Z37" s="10">
        <f t="shared" si="5"/>
        <v>11.220184543019631</v>
      </c>
      <c r="AA37" s="10" t="str">
        <f t="shared" si="6"/>
        <v>70.4984986645444i</v>
      </c>
      <c r="AC37" s="10">
        <f>1/(2*$T$3+$T$6*$T$2/('4. Boost Inductor'!$B$11*$T$3^2)*($T$5-0.5))</f>
        <v>0.16903313049357674</v>
      </c>
      <c r="AD37" s="10" t="str">
        <f t="shared" si="7"/>
        <v>0.970447688577872-0.168996545185358i</v>
      </c>
      <c r="AE37" s="10" t="str">
        <f t="shared" si="8"/>
        <v>0.99999998769207-0.000230248096002738i</v>
      </c>
      <c r="AF37" s="10" t="str">
        <f t="shared" si="9"/>
        <v>32.8062462982052-5.72075682345929i</v>
      </c>
      <c r="AG37" s="10">
        <f t="shared" si="10"/>
        <v>33.301304100765456</v>
      </c>
      <c r="AH37" s="10">
        <f t="shared" si="0"/>
        <v>-0.17264413279224938</v>
      </c>
      <c r="AI37" s="10">
        <f t="shared" si="1"/>
        <v>-9.8917801666920262</v>
      </c>
      <c r="AJ37" s="10">
        <f t="shared" si="2"/>
        <v>30.449224821884084</v>
      </c>
      <c r="AL37" s="10" t="str">
        <f t="shared" si="3"/>
        <v>0.503496869830214-0.48361632266745i</v>
      </c>
      <c r="AM37" s="10" t="str">
        <f t="shared" si="4"/>
        <v>0.99999953632398-0.000679178862697043i</v>
      </c>
      <c r="AN37" s="10" t="str">
        <f t="shared" si="11"/>
        <v>-36.387860136937+34.9986330611362i</v>
      </c>
      <c r="AO37" s="10">
        <f t="shared" si="12"/>
        <v>50.487430925858618</v>
      </c>
      <c r="AP37" s="10">
        <f t="shared" si="13"/>
        <v>2.3756526772939073</v>
      </c>
      <c r="AQ37" s="10">
        <f t="shared" si="14"/>
        <v>136.11487199789542</v>
      </c>
      <c r="AR37" s="10">
        <f t="shared" si="15"/>
        <v>34.063665440009927</v>
      </c>
      <c r="AS37" s="10">
        <f t="shared" si="16"/>
        <v>64.512890261894015</v>
      </c>
      <c r="AT37" s="10">
        <f t="shared" si="17"/>
        <v>126.22309183120339</v>
      </c>
    </row>
    <row r="38" spans="25:46" x14ac:dyDescent="0.25">
      <c r="Y38" s="10">
        <v>36</v>
      </c>
      <c r="Z38" s="10">
        <f t="shared" si="5"/>
        <v>12.022644346174127</v>
      </c>
      <c r="AA38" s="10" t="str">
        <f t="shared" si="6"/>
        <v>75.540502309327i</v>
      </c>
      <c r="AC38" s="10">
        <f>1/(2*$T$3+$T$6*$T$2/('4. Boost Inductor'!$B$11*$T$3^2)*($T$5-0.5))</f>
        <v>0.16903313049357674</v>
      </c>
      <c r="AD38" s="10" t="str">
        <f t="shared" si="7"/>
        <v>0.96621791282215-0.180290502834456i</v>
      </c>
      <c r="AE38" s="10" t="str">
        <f t="shared" si="8"/>
        <v>0.999999985868605-0.000246715279760223i</v>
      </c>
      <c r="AF38" s="10" t="str">
        <f t="shared" si="9"/>
        <v>32.6630635140736-6.10307238030328i</v>
      </c>
      <c r="AG38" s="10">
        <f t="shared" si="10"/>
        <v>33.228349501647337</v>
      </c>
      <c r="AH38" s="10">
        <f t="shared" si="0"/>
        <v>-0.18471932926966969</v>
      </c>
      <c r="AI38" s="10">
        <f t="shared" si="1"/>
        <v>-10.583637961639448</v>
      </c>
      <c r="AJ38" s="10">
        <f t="shared" si="2"/>
        <v>30.430175396065376</v>
      </c>
      <c r="AL38" s="10" t="str">
        <f t="shared" si="3"/>
        <v>0.470214753172123-0.481591507363596i</v>
      </c>
      <c r="AM38" s="10" t="str">
        <f t="shared" si="4"/>
        <v>0.999999467628735-0.000727753212836764i</v>
      </c>
      <c r="AN38" s="10" t="str">
        <f t="shared" si="11"/>
        <v>-33.9793874601164+34.8522182304057i</v>
      </c>
      <c r="AO38" s="10">
        <f t="shared" si="12"/>
        <v>48.675208142796258</v>
      </c>
      <c r="AP38" s="10">
        <f t="shared" si="13"/>
        <v>2.3435145013630008</v>
      </c>
      <c r="AQ38" s="10">
        <f t="shared" si="14"/>
        <v>134.27349015580555</v>
      </c>
      <c r="AR38" s="10">
        <f t="shared" si="15"/>
        <v>33.746156346142186</v>
      </c>
      <c r="AS38" s="10">
        <f t="shared" si="16"/>
        <v>64.176331742207566</v>
      </c>
      <c r="AT38" s="10">
        <f t="shared" si="17"/>
        <v>123.68985219416609</v>
      </c>
    </row>
    <row r="39" spans="25:46" x14ac:dyDescent="0.25">
      <c r="Y39" s="10">
        <v>37</v>
      </c>
      <c r="Z39" s="10">
        <f t="shared" si="5"/>
        <v>12.882495516931341</v>
      </c>
      <c r="AA39" s="10" t="str">
        <f t="shared" si="6"/>
        <v>80.9431065517899i</v>
      </c>
      <c r="AC39" s="10">
        <f>1/(2*$T$3+$T$6*$T$2/('4. Boost Inductor'!$B$11*$T$3^2)*($T$5-0.5))</f>
        <v>0.16903313049357674</v>
      </c>
      <c r="AD39" s="10" t="str">
        <f t="shared" si="7"/>
        <v>0.961406912158259-0.19221881679713i</v>
      </c>
      <c r="AE39" s="10" t="str">
        <f t="shared" si="8"/>
        <v>0.999999983774988-0.000264360185036029i</v>
      </c>
      <c r="AF39" s="10" t="str">
        <f t="shared" si="9"/>
        <v>32.5002055969386-6.50686177780833i</v>
      </c>
      <c r="AG39" s="10">
        <f t="shared" si="10"/>
        <v>33.145174822872519</v>
      </c>
      <c r="AH39" s="10">
        <f t="shared" si="0"/>
        <v>-0.19759734505463133</v>
      </c>
      <c r="AI39" s="10">
        <f t="shared" si="1"/>
        <v>-11.321493914620605</v>
      </c>
      <c r="AJ39" s="10">
        <f t="shared" si="2"/>
        <v>30.408406280562374</v>
      </c>
      <c r="AL39" s="10" t="str">
        <f t="shared" si="3"/>
        <v>0.437366318823036-0.477314564710071i</v>
      </c>
      <c r="AM39" s="10" t="str">
        <f t="shared" si="4"/>
        <v>0.999999388756052-0.000779801555179287i</v>
      </c>
      <c r="AN39" s="10" t="str">
        <f t="shared" si="11"/>
        <v>-31.6022983384703+34.5428353684316i</v>
      </c>
      <c r="AO39" s="10">
        <f t="shared" si="12"/>
        <v>46.817867695616506</v>
      </c>
      <c r="AP39" s="10">
        <f t="shared" si="13"/>
        <v>2.3117679086642426</v>
      </c>
      <c r="AQ39" s="10">
        <f t="shared" si="14"/>
        <v>132.45454438024589</v>
      </c>
      <c r="AR39" s="10">
        <f t="shared" si="15"/>
        <v>33.408232600234129</v>
      </c>
      <c r="AS39" s="10">
        <f t="shared" si="16"/>
        <v>63.816638880796503</v>
      </c>
      <c r="AT39" s="10">
        <f t="shared" si="17"/>
        <v>121.13305046562529</v>
      </c>
    </row>
    <row r="40" spans="25:46" x14ac:dyDescent="0.25">
      <c r="Y40" s="10">
        <v>38</v>
      </c>
      <c r="Z40" s="10">
        <f t="shared" si="5"/>
        <v>13.803842646028851</v>
      </c>
      <c r="AA40" s="10" t="str">
        <f t="shared" si="6"/>
        <v>86.7321012961475i</v>
      </c>
      <c r="AC40" s="10">
        <f>1/(2*$T$3+$T$6*$T$2/('4. Boost Inductor'!$B$11*$T$3^2)*($T$5-0.5))</f>
        <v>0.16903313049357674</v>
      </c>
      <c r="AD40" s="10" t="str">
        <f t="shared" si="7"/>
        <v>0.955942136015676-0.204790501489367i</v>
      </c>
      <c r="AE40" s="10" t="str">
        <f t="shared" si="8"/>
        <v>0.999999981371193-0.000283267041649555i</v>
      </c>
      <c r="AF40" s="10" t="str">
        <f t="shared" si="9"/>
        <v>32.3152166263725-6.93243017495678i</v>
      </c>
      <c r="AG40" s="10">
        <f t="shared" si="10"/>
        <v>33.05044347266815</v>
      </c>
      <c r="AH40" s="10">
        <f t="shared" si="0"/>
        <v>-0.21132234886980256</v>
      </c>
      <c r="AI40" s="10">
        <f t="shared" si="1"/>
        <v>-12.107878707030869</v>
      </c>
      <c r="AJ40" s="10">
        <f t="shared" si="2"/>
        <v>30.38354582495996</v>
      </c>
      <c r="AL40" s="10" t="str">
        <f t="shared" si="3"/>
        <v>0.405248162541501-0.470884887023401i</v>
      </c>
      <c r="AM40" s="10" t="str">
        <f t="shared" si="4"/>
        <v>0.999999298198112-0.000835572344568794i</v>
      </c>
      <c r="AN40" s="10" t="str">
        <f t="shared" si="11"/>
        <v>-29.2780560288482+34.0776776076482i</v>
      </c>
      <c r="AO40" s="10">
        <f t="shared" si="12"/>
        <v>44.927638219242972</v>
      </c>
      <c r="AP40" s="10">
        <f t="shared" si="13"/>
        <v>2.2805822134403613</v>
      </c>
      <c r="AQ40" s="10">
        <f t="shared" si="14"/>
        <v>130.66773566273619</v>
      </c>
      <c r="AR40" s="10">
        <f t="shared" si="15"/>
        <v>33.050271779245428</v>
      </c>
      <c r="AS40" s="10">
        <f t="shared" si="16"/>
        <v>63.433817604205387</v>
      </c>
      <c r="AT40" s="10">
        <f t="shared" si="17"/>
        <v>118.55985695570533</v>
      </c>
    </row>
    <row r="41" spans="25:46" x14ac:dyDescent="0.25">
      <c r="Y41" s="10">
        <v>39</v>
      </c>
      <c r="Z41" s="10">
        <f t="shared" si="5"/>
        <v>14.791083881682074</v>
      </c>
      <c r="AA41" s="10" t="str">
        <f t="shared" si="6"/>
        <v>92.9351209226456i</v>
      </c>
      <c r="AC41" s="10">
        <f>1/(2*$T$3+$T$6*$T$2/('4. Boost Inductor'!$B$11*$T$3^2)*($T$5-0.5))</f>
        <v>0.16903313049357674</v>
      </c>
      <c r="AD41" s="10" t="str">
        <f t="shared" si="7"/>
        <v>0.949744168246057-0.218008203838306i</v>
      </c>
      <c r="AE41" s="10" t="str">
        <f t="shared" si="8"/>
        <v>0.999999978611268-0.000303526103477137i</v>
      </c>
      <c r="AF41" s="10" t="str">
        <f t="shared" si="9"/>
        <v>32.1054082742257-7.37986718465432i</v>
      </c>
      <c r="AG41" s="10">
        <f t="shared" si="10"/>
        <v>32.942672631677262</v>
      </c>
      <c r="AH41" s="10">
        <f t="shared" si="0"/>
        <v>-0.22593890992469917</v>
      </c>
      <c r="AI41" s="10">
        <f t="shared" si="1"/>
        <v>-12.945345966471731</v>
      </c>
      <c r="AJ41" s="10">
        <f t="shared" si="2"/>
        <v>30.355176609549197</v>
      </c>
      <c r="AL41" s="10" t="str">
        <f t="shared" si="3"/>
        <v>0.374130371728273-0.462447926542202i</v>
      </c>
      <c r="AM41" s="10" t="str">
        <f t="shared" si="4"/>
        <v>0.999999194223705-0.000895331804553739i</v>
      </c>
      <c r="AN41" s="10" t="str">
        <f t="shared" si="11"/>
        <v>-27.026205500599+33.4672712644106i</v>
      </c>
      <c r="AO41" s="10">
        <f t="shared" si="12"/>
        <v>43.017136464974641</v>
      </c>
      <c r="AP41" s="10">
        <f t="shared" si="13"/>
        <v>2.250118768500728</v>
      </c>
      <c r="AQ41" s="10">
        <f t="shared" si="14"/>
        <v>128.92230883826602</v>
      </c>
      <c r="AR41" s="10">
        <f t="shared" si="15"/>
        <v>32.67282994397101</v>
      </c>
      <c r="AS41" s="10">
        <f t="shared" si="16"/>
        <v>63.028006553520207</v>
      </c>
      <c r="AT41" s="10">
        <f t="shared" si="17"/>
        <v>115.97696287179429</v>
      </c>
    </row>
    <row r="42" spans="25:46" x14ac:dyDescent="0.25">
      <c r="Y42" s="10">
        <v>40</v>
      </c>
      <c r="Z42" s="10">
        <f t="shared" si="5"/>
        <v>15.848931924611136</v>
      </c>
      <c r="AA42" s="10" t="str">
        <f t="shared" si="6"/>
        <v>99.5817762032062i</v>
      </c>
      <c r="AC42" s="10">
        <f>1/(2*$T$3+$T$6*$T$2/('4. Boost Inductor'!$B$11*$T$3^2)*($T$5-0.5))</f>
        <v>0.16903313049357674</v>
      </c>
      <c r="AD42" s="10" t="str">
        <f t="shared" si="7"/>
        <v>0.94272674370211-0.231866628697721i</v>
      </c>
      <c r="AE42" s="10" t="str">
        <f t="shared" si="8"/>
        <v>0.99999997544245-0.000325234079288125i</v>
      </c>
      <c r="AF42" s="10" t="str">
        <f t="shared" si="9"/>
        <v>31.8678603658401-7.84899357228374i</v>
      </c>
      <c r="AG42" s="10">
        <f t="shared" si="10"/>
        <v>32.820225843135724</v>
      </c>
      <c r="AH42" s="10">
        <f t="shared" si="0"/>
        <v>-0.24149150197620969</v>
      </c>
      <c r="AI42" s="10">
        <f t="shared" si="1"/>
        <v>-13.836443851511994</v>
      </c>
      <c r="AJ42" s="10">
        <f t="shared" si="2"/>
        <v>30.322831304049075</v>
      </c>
      <c r="AL42" s="10" t="str">
        <f t="shared" si="3"/>
        <v>0.344248178469621-0.452187408838494i</v>
      </c>
      <c r="AM42" s="10" t="str">
        <f t="shared" si="4"/>
        <v>0.99999907484514-0.000959365198050951i</v>
      </c>
      <c r="AN42" s="10" t="str">
        <f t="shared" si="11"/>
        <v>-24.8637694049287+32.7249123625839i</v>
      </c>
      <c r="AO42" s="10">
        <f t="shared" si="12"/>
        <v>41.098989259594511</v>
      </c>
      <c r="AP42" s="10">
        <f t="shared" si="13"/>
        <v>2.2205279966742144</v>
      </c>
      <c r="AQ42" s="10">
        <f t="shared" si="14"/>
        <v>127.22688250007219</v>
      </c>
      <c r="AR42" s="10">
        <f t="shared" si="15"/>
        <v>32.2766228295514</v>
      </c>
      <c r="AS42" s="10">
        <f t="shared" si="16"/>
        <v>62.599454133600474</v>
      </c>
      <c r="AT42" s="10">
        <f t="shared" si="17"/>
        <v>113.39043864856021</v>
      </c>
    </row>
    <row r="43" spans="25:46" x14ac:dyDescent="0.25">
      <c r="Y43" s="10">
        <v>41</v>
      </c>
      <c r="Z43" s="10">
        <f t="shared" si="5"/>
        <v>16.982436524617441</v>
      </c>
      <c r="AA43" s="10" t="str">
        <f t="shared" si="6"/>
        <v>106.703795651586i</v>
      </c>
      <c r="AC43" s="10">
        <f>1/(2*$T$3+$T$6*$T$2/('4. Boost Inductor'!$B$11*$T$3^2)*($T$5-0.5))</f>
        <v>0.16903313049357674</v>
      </c>
      <c r="AD43" s="10" t="str">
        <f t="shared" si="7"/>
        <v>0.934797005948249-0.246350762135259i</v>
      </c>
      <c r="AE43" s="10" t="str">
        <f t="shared" si="8"/>
        <v>0.99999997180416-0.000348494594393997i</v>
      </c>
      <c r="AF43" s="10" t="str">
        <f t="shared" si="9"/>
        <v>31.5994296038517-8.33930111198854i</v>
      </c>
      <c r="AG43" s="10">
        <f t="shared" si="10"/>
        <v>32.681308026533955</v>
      </c>
      <c r="AH43" s="10">
        <f t="shared" si="0"/>
        <v>-0.25802389106508822</v>
      </c>
      <c r="AI43" s="10">
        <f t="shared" si="1"/>
        <v>-14.783679971572866</v>
      </c>
      <c r="AJ43" s="10">
        <f t="shared" si="2"/>
        <v>30.285988605516994</v>
      </c>
      <c r="AL43" s="10" t="str">
        <f t="shared" si="3"/>
        <v>0.315796090377382-0.440316044748239i</v>
      </c>
      <c r="AM43" s="10" t="str">
        <f t="shared" si="4"/>
        <v>0.999998937780243-0.00102797818885422i</v>
      </c>
      <c r="AN43" s="10" t="str">
        <f t="shared" si="11"/>
        <v>-22.8048233509104+31.8659945021368i</v>
      </c>
      <c r="AO43" s="10">
        <f t="shared" si="12"/>
        <v>39.18547656564153</v>
      </c>
      <c r="AP43" s="10">
        <f t="shared" si="13"/>
        <v>2.1919470391499285</v>
      </c>
      <c r="AQ43" s="10">
        <f t="shared" si="14"/>
        <v>125.58931425948794</v>
      </c>
      <c r="AR43" s="10">
        <f t="shared" si="15"/>
        <v>31.862502658710085</v>
      </c>
      <c r="AS43" s="10">
        <f t="shared" si="16"/>
        <v>62.148491264227076</v>
      </c>
      <c r="AT43" s="10">
        <f t="shared" si="17"/>
        <v>110.80563428791507</v>
      </c>
    </row>
    <row r="44" spans="25:46" x14ac:dyDescent="0.25">
      <c r="Y44" s="10">
        <v>42</v>
      </c>
      <c r="Z44" s="10">
        <f t="shared" si="5"/>
        <v>18.197008586099834</v>
      </c>
      <c r="AA44" s="10" t="str">
        <f t="shared" si="6"/>
        <v>114.335176982803i</v>
      </c>
      <c r="AC44" s="10">
        <f>1/(2*$T$3+$T$6*$T$2/('4. Boost Inductor'!$B$11*$T$3^2)*($T$5-0.5))</f>
        <v>0.16903313049357674</v>
      </c>
      <c r="AD44" s="10" t="str">
        <f t="shared" si="7"/>
        <v>0.925856080124915-0.261433907708183i</v>
      </c>
      <c r="AE44" s="10" t="str">
        <f t="shared" si="8"/>
        <v>0.999999967626844-0.000373418685314219i</v>
      </c>
      <c r="AF44" s="10" t="str">
        <f t="shared" si="9"/>
        <v>31.2967689603083-8.84988611240611i</v>
      </c>
      <c r="AG44" s="10">
        <f t="shared" si="10"/>
        <v>32.523963958248927</v>
      </c>
      <c r="AH44" s="10">
        <f t="shared" si="0"/>
        <v>-0.27557839333477313</v>
      </c>
      <c r="AI44" s="10">
        <f t="shared" si="1"/>
        <v>-15.789478863078637</v>
      </c>
      <c r="AJ44" s="10">
        <f t="shared" si="2"/>
        <v>30.244069422500665</v>
      </c>
      <c r="AL44" s="10" t="str">
        <f t="shared" si="3"/>
        <v>0.288924693956295-0.427065566510661i</v>
      </c>
      <c r="AM44" s="10" t="str">
        <f t="shared" si="4"/>
        <v>0.999998780408732-0.00110149830047698i</v>
      </c>
      <c r="AN44" s="10" t="str">
        <f t="shared" si="11"/>
        <v>-20.8602645798953+30.9072878240806i</v>
      </c>
      <c r="AO44" s="10">
        <f t="shared" si="12"/>
        <v>37.288216355623597</v>
      </c>
      <c r="AP44" s="10">
        <f t="shared" si="13"/>
        <v>2.1644980984455184</v>
      </c>
      <c r="AQ44" s="10">
        <f t="shared" si="14"/>
        <v>124.01660580502038</v>
      </c>
      <c r="AR44" s="10">
        <f t="shared" si="15"/>
        <v>31.431432196356308</v>
      </c>
      <c r="AS44" s="10">
        <f t="shared" si="16"/>
        <v>61.67550161885697</v>
      </c>
      <c r="AT44" s="10">
        <f t="shared" si="17"/>
        <v>108.22712694194173</v>
      </c>
    </row>
    <row r="45" spans="25:46" x14ac:dyDescent="0.25">
      <c r="Y45" s="10">
        <v>43</v>
      </c>
      <c r="Z45" s="10">
        <f t="shared" si="5"/>
        <v>19.498445997580447</v>
      </c>
      <c r="AA45" s="10" t="str">
        <f t="shared" si="6"/>
        <v>122.512349404832i</v>
      </c>
      <c r="AC45" s="10">
        <f>1/(2*$T$3+$T$6*$T$2/('4. Boost Inductor'!$B$11*$T$3^2)*($T$5-0.5))</f>
        <v>0.16903313049357674</v>
      </c>
      <c r="AD45" s="10" t="str">
        <f t="shared" si="7"/>
        <v>0.915800044182596-0.277075569957672i</v>
      </c>
      <c r="AE45" s="10" t="str">
        <f t="shared" si="8"/>
        <v>0.999999962830644-0.000400125329820166i</v>
      </c>
      <c r="AF45" s="10" t="str">
        <f t="shared" si="9"/>
        <v>30.9563605540596-9.3793777705774i</v>
      </c>
      <c r="AG45" s="10">
        <f t="shared" si="10"/>
        <v>32.346081464624717</v>
      </c>
      <c r="AH45" s="10">
        <f t="shared" si="0"/>
        <v>-0.29419499101691715</v>
      </c>
      <c r="AI45" s="10">
        <f t="shared" si="1"/>
        <v>-16.856131339158519</v>
      </c>
      <c r="AJ45" s="10">
        <f t="shared" si="2"/>
        <v>30.196433519959708</v>
      </c>
      <c r="AL45" s="10" t="str">
        <f t="shared" si="3"/>
        <v>0.263740047238925-0.41267687980187i</v>
      </c>
      <c r="AM45" s="10" t="str">
        <f t="shared" si="4"/>
        <v>0.999998599722123-0.00118027647928123i</v>
      </c>
      <c r="AN45" s="10" t="str">
        <f t="shared" si="11"/>
        <v>-19.0377680132015+29.8662263623818i</v>
      </c>
      <c r="AO45" s="10">
        <f t="shared" si="12"/>
        <v>35.41790631945242</v>
      </c>
      <c r="AP45" s="10">
        <f t="shared" si="13"/>
        <v>2.1382874953278197</v>
      </c>
      <c r="AQ45" s="10">
        <f t="shared" si="14"/>
        <v>122.5148488678838</v>
      </c>
      <c r="AR45" s="10">
        <f t="shared" si="15"/>
        <v>30.984457697903593</v>
      </c>
      <c r="AS45" s="10">
        <f t="shared" si="16"/>
        <v>61.180891217863305</v>
      </c>
      <c r="AT45" s="10">
        <f t="shared" si="17"/>
        <v>105.65871752872528</v>
      </c>
    </row>
    <row r="46" spans="25:46" x14ac:dyDescent="0.25">
      <c r="Y46" s="10">
        <v>44</v>
      </c>
      <c r="Z46" s="10">
        <f t="shared" si="5"/>
        <v>20.892961308540382</v>
      </c>
      <c r="AA46" s="10" t="str">
        <f t="shared" si="6"/>
        <v>131.274347517293i</v>
      </c>
      <c r="AC46" s="10">
        <f>1/(2*$T$3+$T$6*$T$2/('4. Boost Inductor'!$B$11*$T$3^2)*($T$5-0.5))</f>
        <v>0.16903313049357674</v>
      </c>
      <c r="AD46" s="10" t="str">
        <f t="shared" si="7"/>
        <v>0.904521387611206-0.293219244448858i</v>
      </c>
      <c r="AE46" s="10" t="str">
        <f t="shared" si="8"/>
        <v>0.99999995732387-0.000428742014887283i</v>
      </c>
      <c r="AF46" s="10" t="str">
        <f t="shared" si="9"/>
        <v>30.5745650304282-9.92586336232686i</v>
      </c>
      <c r="AG46" s="10">
        <f t="shared" si="10"/>
        <v>32.145400764144561</v>
      </c>
      <c r="AH46" s="10">
        <f t="shared" si="0"/>
        <v>-0.31391029787621522</v>
      </c>
      <c r="AI46" s="10">
        <f t="shared" si="1"/>
        <v>-17.985735214001622</v>
      </c>
      <c r="AJ46" s="10">
        <f t="shared" si="2"/>
        <v>30.142376891619858</v>
      </c>
      <c r="AL46" s="10" t="str">
        <f t="shared" si="3"/>
        <v>0.240305350718804-0.397391000067861i</v>
      </c>
      <c r="AM46" s="10" t="str">
        <f t="shared" si="4"/>
        <v>0.99999839226622-0.0012646887693397i</v>
      </c>
      <c r="AN46" s="10" t="str">
        <f t="shared" si="11"/>
        <v>-17.3419071696688+28.7602521522419i</v>
      </c>
      <c r="AO46" s="10">
        <f t="shared" si="12"/>
        <v>33.58413089752279</v>
      </c>
      <c r="AP46" s="10">
        <f t="shared" si="13"/>
        <v>2.113405406363599</v>
      </c>
      <c r="AQ46" s="10">
        <f t="shared" si="14"/>
        <v>121.08921018476491</v>
      </c>
      <c r="AR46" s="10">
        <f t="shared" si="15"/>
        <v>30.522682278959607</v>
      </c>
      <c r="AS46" s="10">
        <f t="shared" si="16"/>
        <v>60.665059170579468</v>
      </c>
      <c r="AT46" s="10">
        <f t="shared" si="17"/>
        <v>103.10347497076329</v>
      </c>
    </row>
    <row r="47" spans="25:46" x14ac:dyDescent="0.25">
      <c r="Y47" s="10">
        <v>45</v>
      </c>
      <c r="Z47" s="10">
        <f t="shared" si="5"/>
        <v>22.387211385683386</v>
      </c>
      <c r="AA47" s="10" t="str">
        <f t="shared" si="6"/>
        <v>140.662997647249i</v>
      </c>
      <c r="AC47" s="10">
        <f>1/(2*$T$3+$T$6*$T$2/('4. Boost Inductor'!$B$11*$T$3^2)*($T$5-0.5))</f>
        <v>0.16903313049357674</v>
      </c>
      <c r="AD47" s="10" t="str">
        <f t="shared" si="7"/>
        <v>0.891911046931462-0.309790204984497i</v>
      </c>
      <c r="AE47" s="10" t="str">
        <f t="shared" si="8"/>
        <v>0.999999951001246-0.000459405345266652i</v>
      </c>
      <c r="AF47" s="10" t="str">
        <f t="shared" si="9"/>
        <v>30.1476904649375-10.4868133369718i</v>
      </c>
      <c r="AG47" s="10">
        <f t="shared" si="10"/>
        <v>31.919531549416149</v>
      </c>
      <c r="AH47" s="10">
        <f t="shared" si="0"/>
        <v>-0.33475637057177643</v>
      </c>
      <c r="AI47" s="10">
        <f t="shared" si="1"/>
        <v>-19.180127198880182</v>
      </c>
      <c r="AJ47" s="10">
        <f t="shared" si="2"/>
        <v>30.081130180518393</v>
      </c>
      <c r="AL47" s="10" t="str">
        <f t="shared" si="3"/>
        <v>0.218644432320136-0.381441262135864i</v>
      </c>
      <c r="AM47" s="10" t="str">
        <f t="shared" si="4"/>
        <v>0.99999815407508-0.00135513810700848i</v>
      </c>
      <c r="AN47" s="10" t="str">
        <f t="shared" si="11"/>
        <v>-15.7744063566114+27.6062514799048i</v>
      </c>
      <c r="AO47" s="10">
        <f t="shared" si="12"/>
        <v>31.795235754358671</v>
      </c>
      <c r="AP47" s="10">
        <f t="shared" si="13"/>
        <v>2.0899262071300431</v>
      </c>
      <c r="AQ47" s="10">
        <f t="shared" si="14"/>
        <v>119.74395116233536</v>
      </c>
      <c r="AR47" s="10">
        <f t="shared" si="15"/>
        <v>30.047240990504903</v>
      </c>
      <c r="AS47" s="10">
        <f t="shared" si="16"/>
        <v>60.128371171023296</v>
      </c>
      <c r="AT47" s="10">
        <f t="shared" si="17"/>
        <v>100.56382396345518</v>
      </c>
    </row>
    <row r="48" spans="25:46" x14ac:dyDescent="0.25">
      <c r="Y48" s="10">
        <v>46</v>
      </c>
      <c r="Z48" s="10">
        <f t="shared" si="5"/>
        <v>23.988329190194897</v>
      </c>
      <c r="AA48" s="10" t="str">
        <f t="shared" si="6"/>
        <v>150.72311751162i</v>
      </c>
      <c r="AC48" s="10">
        <f>1/(2*$T$3+$T$6*$T$2/('4. Boost Inductor'!$B$11*$T$3^2)*($T$5-0.5))</f>
        <v>0.16903313049357674</v>
      </c>
      <c r="AD48" s="10" t="str">
        <f t="shared" si="7"/>
        <v>0.877861098486239-0.326693415529272i</v>
      </c>
      <c r="AE48" s="10" t="str">
        <f t="shared" si="8"/>
        <v>0.999999943741903-0.000492261695581001i</v>
      </c>
      <c r="AF48" s="10" t="str">
        <f t="shared" si="9"/>
        <v>29.672083517403-11.0590106336358i</v>
      </c>
      <c r="AG48" s="10">
        <f t="shared" si="10"/>
        <v>31.665979480486754</v>
      </c>
      <c r="AH48" s="10">
        <f t="shared" si="0"/>
        <v>-0.3567593699288451</v>
      </c>
      <c r="AI48" s="10">
        <f t="shared" si="1"/>
        <v>-20.440806198669282</v>
      </c>
      <c r="AJ48" s="10">
        <f t="shared" si="2"/>
        <v>30.011858520181054</v>
      </c>
      <c r="AL48" s="10" t="str">
        <f t="shared" si="3"/>
        <v>0.198746509915319-0.365047092565041i</v>
      </c>
      <c r="AM48" s="10" t="str">
        <f t="shared" si="4"/>
        <v>0.999997880595201-0.00145205624375461i</v>
      </c>
      <c r="AN48" s="10" t="str">
        <f t="shared" si="11"/>
        <v>-14.3344853109622+26.4201042209631i</v>
      </c>
      <c r="AO48" s="10">
        <f t="shared" si="12"/>
        <v>30.058266353479929</v>
      </c>
      <c r="AP48" s="10">
        <f t="shared" si="13"/>
        <v>2.0679093181741437</v>
      </c>
      <c r="AQ48" s="10">
        <f t="shared" si="14"/>
        <v>118.48247634715415</v>
      </c>
      <c r="AR48" s="10">
        <f t="shared" si="15"/>
        <v>29.55927857037414</v>
      </c>
      <c r="AS48" s="10">
        <f t="shared" si="16"/>
        <v>59.571137090555197</v>
      </c>
      <c r="AT48" s="10">
        <f t="shared" si="17"/>
        <v>98.041670148484869</v>
      </c>
    </row>
    <row r="49" spans="25:46" x14ac:dyDescent="0.25">
      <c r="Y49" s="10">
        <v>47</v>
      </c>
      <c r="Z49" s="10">
        <f t="shared" si="5"/>
        <v>25.703957827688622</v>
      </c>
      <c r="AA49" s="10" t="str">
        <f t="shared" si="6"/>
        <v>161.502730159297i</v>
      </c>
      <c r="AC49" s="10">
        <f>1/(2*$T$3+$T$6*$T$2/('4. Boost Inductor'!$B$11*$T$3^2)*($T$5-0.5))</f>
        <v>0.16903313049357674</v>
      </c>
      <c r="AD49" s="10" t="str">
        <f t="shared" si="7"/>
        <v>0.862268167932887-0.343811735058335i</v>
      </c>
      <c r="AE49" s="10" t="str">
        <f t="shared" si="8"/>
        <v>0.999999935407062-0.000527467909057895i</v>
      </c>
      <c r="AF49" s="10" t="str">
        <f t="shared" si="9"/>
        <v>29.1442448471755-11.6384899133912i</v>
      </c>
      <c r="AG49" s="10">
        <f t="shared" si="10"/>
        <v>31.3821837222368</v>
      </c>
      <c r="AH49" s="10">
        <f t="shared" si="0"/>
        <v>-0.37993808635691684</v>
      </c>
      <c r="AI49" s="10">
        <f t="shared" si="1"/>
        <v>-21.768848824528337</v>
      </c>
      <c r="AJ49" s="10">
        <f t="shared" si="2"/>
        <v>29.933663211736217</v>
      </c>
      <c r="AL49" s="10" t="str">
        <f t="shared" si="3"/>
        <v>0.180571695584124-0.348409445797107i</v>
      </c>
      <c r="AM49" s="10" t="str">
        <f t="shared" si="4"/>
        <v>0.999997566598472-0.00155590580639007i</v>
      </c>
      <c r="AN49" s="10" t="str">
        <f t="shared" si="11"/>
        <v>-13.019257516797+25.2163535804678i</v>
      </c>
      <c r="AO49" s="10">
        <f t="shared" si="12"/>
        <v>28.378963233068369</v>
      </c>
      <c r="AP49" s="10">
        <f t="shared" si="13"/>
        <v>2.0474004368452827</v>
      </c>
      <c r="AQ49" s="10">
        <f t="shared" si="14"/>
        <v>117.30740400447576</v>
      </c>
      <c r="AR49" s="10">
        <f t="shared" si="15"/>
        <v>29.059930507149303</v>
      </c>
      <c r="AS49" s="10">
        <f t="shared" si="16"/>
        <v>58.993593718885521</v>
      </c>
      <c r="AT49" s="10">
        <f t="shared" si="17"/>
        <v>95.538555179947423</v>
      </c>
    </row>
    <row r="50" spans="25:46" x14ac:dyDescent="0.25">
      <c r="Y50" s="10">
        <v>48</v>
      </c>
      <c r="Z50" s="10">
        <f t="shared" si="5"/>
        <v>27.542287033381651</v>
      </c>
      <c r="AA50" s="10" t="str">
        <f t="shared" si="6"/>
        <v>173.053293214266i</v>
      </c>
      <c r="AC50" s="10">
        <f>1/(2*$T$3+$T$6*$T$2/('4. Boost Inductor'!$B$11*$T$3^2)*($T$5-0.5))</f>
        <v>0.16903313049357674</v>
      </c>
      <c r="AD50" s="10" t="str">
        <f t="shared" si="7"/>
        <v>0.845037578729409-0.361004624448611i</v>
      </c>
      <c r="AE50" s="10" t="str">
        <f t="shared" si="8"/>
        <v>0.999999925837386-0.000565192046235626i</v>
      </c>
      <c r="AF50" s="10" t="str">
        <f t="shared" si="9"/>
        <v>28.5609695441792-12.2204937861336i</v>
      </c>
      <c r="AG50" s="10">
        <f t="shared" si="10"/>
        <v>31.06556694606525</v>
      </c>
      <c r="AH50" s="10">
        <f t="shared" si="0"/>
        <v>-0.40430235674771614</v>
      </c>
      <c r="AI50" s="10">
        <f t="shared" si="1"/>
        <v>-23.164818688836696</v>
      </c>
      <c r="AJ50" s="10">
        <f t="shared" si="2"/>
        <v>29.845585677766447</v>
      </c>
      <c r="AL50" s="10" t="str">
        <f t="shared" si="3"/>
        <v>0.16405676175551-0.331707849564768i</v>
      </c>
      <c r="AM50" s="10" t="str">
        <f t="shared" si="4"/>
        <v>0.999997206082236-0.0016671825045136i</v>
      </c>
      <c r="AN50" s="10" t="str">
        <f t="shared" si="11"/>
        <v>-11.8241474740619+24.0079922879065i</v>
      </c>
      <c r="AO50" s="10">
        <f t="shared" si="12"/>
        <v>26.761804071933238</v>
      </c>
      <c r="AP50" s="10">
        <f t="shared" si="13"/>
        <v>2.0284330364980816</v>
      </c>
      <c r="AQ50" s="10">
        <f t="shared" si="14"/>
        <v>116.22065201624615</v>
      </c>
      <c r="AR50" s="10">
        <f t="shared" si="15"/>
        <v>28.550307736531767</v>
      </c>
      <c r="AS50" s="10">
        <f t="shared" si="16"/>
        <v>58.395893414298214</v>
      </c>
      <c r="AT50" s="10">
        <f t="shared" si="17"/>
        <v>93.055833327409459</v>
      </c>
    </row>
    <row r="51" spans="25:46" x14ac:dyDescent="0.25">
      <c r="Y51" s="10">
        <v>49</v>
      </c>
      <c r="Z51" s="10">
        <f t="shared" si="5"/>
        <v>29.512092266663849</v>
      </c>
      <c r="AA51" s="10" t="str">
        <f t="shared" si="6"/>
        <v>185.429944514031i</v>
      </c>
      <c r="AC51" s="10">
        <f>1/(2*$T$3+$T$6*$T$2/('4. Boost Inductor'!$B$11*$T$3^2)*($T$5-0.5))</f>
        <v>0.16903313049357674</v>
      </c>
      <c r="AD51" s="10" t="str">
        <f t="shared" si="7"/>
        <v>0.826088205956423-0.378107600059992i</v>
      </c>
      <c r="AE51" s="10" t="str">
        <f t="shared" si="8"/>
        <v>0.999999914849926-0.000605614187215633i</v>
      </c>
      <c r="AF51" s="10" t="str">
        <f t="shared" si="9"/>
        <v>27.919511436378-12.7994543137769i</v>
      </c>
      <c r="AG51" s="10">
        <f t="shared" si="10"/>
        <v>30.71359877279939</v>
      </c>
      <c r="AH51" s="10">
        <f t="shared" si="0"/>
        <v>-0.42985141597331816</v>
      </c>
      <c r="AI51" s="10">
        <f t="shared" si="1"/>
        <v>-24.628671952993468</v>
      </c>
      <c r="AJ51" s="10">
        <f t="shared" si="2"/>
        <v>29.746614131270491</v>
      </c>
      <c r="AL51" s="10" t="str">
        <f t="shared" si="3"/>
        <v>0.149120779304204-0.315098893056318i</v>
      </c>
      <c r="AM51" s="10" t="str">
        <f t="shared" si="4"/>
        <v>0.999996792154536-0.00178641749565641i</v>
      </c>
      <c r="AN51" s="10" t="str">
        <f t="shared" si="11"/>
        <v>-10.7432987012258+22.8063531981201i</v>
      </c>
      <c r="AO51" s="10">
        <f t="shared" si="12"/>
        <v>25.210081578232998</v>
      </c>
      <c r="AP51" s="10">
        <f t="shared" si="13"/>
        <v>2.0110300224743307</v>
      </c>
      <c r="AQ51" s="10">
        <f t="shared" si="14"/>
        <v>115.22353276187825</v>
      </c>
      <c r="AR51" s="10">
        <f t="shared" si="15"/>
        <v>28.031485020565103</v>
      </c>
      <c r="AS51" s="10">
        <f t="shared" si="16"/>
        <v>57.77809915183559</v>
      </c>
      <c r="AT51" s="10">
        <f t="shared" si="17"/>
        <v>90.594860808884775</v>
      </c>
    </row>
    <row r="52" spans="25:46" x14ac:dyDescent="0.25">
      <c r="Y52" s="10">
        <v>50</v>
      </c>
      <c r="Z52" s="10">
        <f t="shared" si="5"/>
        <v>31.622776601683789</v>
      </c>
      <c r="AA52" s="10" t="str">
        <f t="shared" si="6"/>
        <v>198.691765315922i</v>
      </c>
      <c r="AC52" s="10">
        <f>1/(2*$T$3+$T$6*$T$2/('4. Boost Inductor'!$B$11*$T$3^2)*($T$5-0.5))</f>
        <v>0.16903313049357674</v>
      </c>
      <c r="AD52" s="10" t="str">
        <f t="shared" si="7"/>
        <v>0.805357925884478-0.394932701031506i</v>
      </c>
      <c r="AE52" s="10" t="str">
        <f t="shared" si="8"/>
        <v>0.999999902234634-0.000648927291291046i</v>
      </c>
      <c r="AF52" s="10" t="str">
        <f t="shared" si="9"/>
        <v>27.2177675639095-13.3690088288753i</v>
      </c>
      <c r="AG52" s="10">
        <f t="shared" si="10"/>
        <v>30.32387290946771</v>
      </c>
      <c r="AH52" s="10">
        <f t="shared" si="0"/>
        <v>-0.4565722439502663</v>
      </c>
      <c r="AI52" s="10">
        <f t="shared" si="1"/>
        <v>-26.159662621167691</v>
      </c>
      <c r="AJ52" s="10">
        <f t="shared" si="2"/>
        <v>29.635693355952462</v>
      </c>
      <c r="AL52" s="10" t="str">
        <f t="shared" si="3"/>
        <v>0.135670341486388-0.298715924365729i</v>
      </c>
      <c r="AM52" s="10" t="str">
        <f t="shared" si="4"/>
        <v>0.999996316902372-0.0019141799193714i</v>
      </c>
      <c r="AN52" s="10" t="str">
        <f t="shared" si="11"/>
        <v>-9.76995176699071+21.6210874029935i</v>
      </c>
      <c r="AO52" s="10">
        <f t="shared" si="12"/>
        <v>23.726006364687862</v>
      </c>
      <c r="AP52" s="10">
        <f t="shared" si="13"/>
        <v>1.9952054485019282</v>
      </c>
      <c r="AQ52" s="10">
        <f t="shared" si="14"/>
        <v>114.316851460667</v>
      </c>
      <c r="AR52" s="10">
        <f t="shared" si="15"/>
        <v>27.504492851374529</v>
      </c>
      <c r="AS52" s="10">
        <f t="shared" si="16"/>
        <v>57.140186207326991</v>
      </c>
      <c r="AT52" s="10">
        <f t="shared" si="17"/>
        <v>88.157188839499298</v>
      </c>
    </row>
    <row r="53" spans="25:46" x14ac:dyDescent="0.25">
      <c r="Y53" s="10">
        <v>51</v>
      </c>
      <c r="Z53" s="10">
        <f t="shared" si="5"/>
        <v>33.884415613920254</v>
      </c>
      <c r="AA53" s="10" t="str">
        <f t="shared" si="6"/>
        <v>212.90206232775i</v>
      </c>
      <c r="AC53" s="10">
        <f>1/(2*$T$3+$T$6*$T$2/('4. Boost Inductor'!$B$11*$T$3^2)*($T$5-0.5))</f>
        <v>0.16903313049357674</v>
      </c>
      <c r="AD53" s="10" t="str">
        <f t="shared" si="7"/>
        <v>0.782809457679588-0.41127023698621i</v>
      </c>
      <c r="AE53" s="10" t="str">
        <f t="shared" si="8"/>
        <v>0.999999887750342-0.000695338118054778i</v>
      </c>
      <c r="AF53" s="10" t="str">
        <f t="shared" si="9"/>
        <v>26.4544759275489-13.9220590965641i</v>
      </c>
      <c r="AG53" s="10">
        <f t="shared" si="10"/>
        <v>29.894197197608225</v>
      </c>
      <c r="AH53" s="10">
        <f t="shared" si="0"/>
        <v>-0.48443798790475628</v>
      </c>
      <c r="AI53" s="10">
        <f t="shared" si="1"/>
        <v>-27.756252142752157</v>
      </c>
      <c r="AJ53" s="10">
        <f t="shared" si="2"/>
        <v>29.51173790051206</v>
      </c>
      <c r="AL53" s="10" t="str">
        <f t="shared" si="3"/>
        <v>0.123604189372258-0.282669696415091i</v>
      </c>
      <c r="AM53" s="10" t="str">
        <f t="shared" si="4"/>
        <v>0.99999577124044-0.00205107961230045i</v>
      </c>
      <c r="AN53" s="10" t="str">
        <f t="shared" si="11"/>
        <v>-8.89677901105869+20.4602109801103i</v>
      </c>
      <c r="AO53" s="10">
        <f t="shared" si="12"/>
        <v>22.310824953870277</v>
      </c>
      <c r="AP53" s="10">
        <f t="shared" si="13"/>
        <v>1.9809662146347429</v>
      </c>
      <c r="AQ53" s="10">
        <f t="shared" si="14"/>
        <v>113.50100345657755</v>
      </c>
      <c r="AR53" s="10">
        <f t="shared" si="15"/>
        <v>26.970312576712114</v>
      </c>
      <c r="AS53" s="10">
        <f t="shared" si="16"/>
        <v>56.482050477224178</v>
      </c>
      <c r="AT53" s="10">
        <f t="shared" si="17"/>
        <v>85.74475131382539</v>
      </c>
    </row>
    <row r="54" spans="25:46" x14ac:dyDescent="0.25">
      <c r="Y54" s="10">
        <v>52</v>
      </c>
      <c r="Z54" s="10">
        <f t="shared" si="5"/>
        <v>36.307805477010106</v>
      </c>
      <c r="AA54" s="10" t="str">
        <f t="shared" si="6"/>
        <v>228.128669909084i</v>
      </c>
      <c r="AC54" s="10">
        <f>1/(2*$T$3+$T$6*$T$2/('4. Boost Inductor'!$B$11*$T$3^2)*($T$5-0.5))</f>
        <v>0.16903313049357674</v>
      </c>
      <c r="AD54" s="10" t="str">
        <f t="shared" si="7"/>
        <v>0.758436287816784-0.426892049568567i</v>
      </c>
      <c r="AE54" s="10" t="str">
        <f t="shared" si="8"/>
        <v>0.999999871120149-0.000745068214383949i</v>
      </c>
      <c r="AF54" s="10" t="str">
        <f t="shared" si="9"/>
        <v>25.6294160369345-14.4508817214831i</v>
      </c>
      <c r="AG54" s="10">
        <f t="shared" si="10"/>
        <v>29.422694453815236</v>
      </c>
      <c r="AH54" s="10">
        <f t="shared" si="0"/>
        <v>-0.51340655703535842</v>
      </c>
      <c r="AI54" s="10">
        <f t="shared" si="1"/>
        <v>-29.416028892468621</v>
      </c>
      <c r="AJ54" s="10">
        <f t="shared" si="2"/>
        <v>29.373648835431005</v>
      </c>
      <c r="AL54" s="10" t="str">
        <f t="shared" si="3"/>
        <v>0.112817143601284-0.267049703847048i</v>
      </c>
      <c r="AM54" s="10" t="str">
        <f t="shared" si="4"/>
        <v>0.999995144737454-0.00219777001710332i</v>
      </c>
      <c r="AN54" s="10" t="str">
        <f t="shared" si="11"/>
        <v>-8.1161690666373+19.3302017441498i</v>
      </c>
      <c r="AO54" s="10">
        <f t="shared" si="12"/>
        <v>20.964944545306388</v>
      </c>
      <c r="AP54" s="10">
        <f t="shared" si="13"/>
        <v>1.9683136860685893</v>
      </c>
      <c r="AQ54" s="10">
        <f t="shared" si="14"/>
        <v>112.77606696956822</v>
      </c>
      <c r="AR54" s="10">
        <f t="shared" si="15"/>
        <v>26.429874359643364</v>
      </c>
      <c r="AS54" s="10">
        <f t="shared" si="16"/>
        <v>55.803523195074369</v>
      </c>
      <c r="AT54" s="10">
        <f t="shared" si="17"/>
        <v>83.360038077099603</v>
      </c>
    </row>
    <row r="55" spans="25:46" x14ac:dyDescent="0.25">
      <c r="Y55" s="10">
        <v>53</v>
      </c>
      <c r="Z55" s="10">
        <f t="shared" si="5"/>
        <v>38.904514499428039</v>
      </c>
      <c r="AA55" s="10" t="str">
        <f t="shared" si="6"/>
        <v>244.444273885761i</v>
      </c>
      <c r="AC55" s="10">
        <f>1/(2*$T$3+$T$6*$T$2/('4. Boost Inductor'!$B$11*$T$3^2)*($T$5-0.5))</f>
        <v>0.16903313049357674</v>
      </c>
      <c r="AD55" s="10" t="str">
        <f t="shared" si="7"/>
        <v>0.732268261790052-0.441556446127215i</v>
      </c>
      <c r="AE55" s="10" t="str">
        <f t="shared" si="8"/>
        <v>0.999999852026132-0.000798354972011989i</v>
      </c>
      <c r="AF55" s="10" t="str">
        <f t="shared" si="9"/>
        <v>24.7435981963927-14.9472951587575i</v>
      </c>
      <c r="AG55" s="10">
        <f t="shared" si="10"/>
        <v>28.907910409912777</v>
      </c>
      <c r="AH55" s="10">
        <f t="shared" si="0"/>
        <v>-0.54341950061580169</v>
      </c>
      <c r="AI55" s="10">
        <f t="shared" si="1"/>
        <v>-31.135643890392281</v>
      </c>
      <c r="AJ55" s="10">
        <f t="shared" si="2"/>
        <v>29.220334002045139</v>
      </c>
      <c r="AL55" s="10" t="str">
        <f t="shared" si="3"/>
        <v>0.10320331840658-0.251925977405849i</v>
      </c>
      <c r="AM55" s="10" t="str">
        <f t="shared" si="4"/>
        <v>0.999994425416756-0.0023549512990402i</v>
      </c>
      <c r="AN55" s="10" t="str">
        <f t="shared" si="11"/>
        <v>-7.42045944402767+18.2361291050907i</v>
      </c>
      <c r="AO55" s="10">
        <f t="shared" si="12"/>
        <v>19.688057880298796</v>
      </c>
      <c r="AP55" s="10">
        <f t="shared" si="13"/>
        <v>1.9572451892611398</v>
      </c>
      <c r="AQ55" s="10">
        <f t="shared" si="14"/>
        <v>112.14188881694734</v>
      </c>
      <c r="AR55" s="10">
        <f t="shared" si="15"/>
        <v>25.884057549304742</v>
      </c>
      <c r="AS55" s="10">
        <f t="shared" si="16"/>
        <v>55.104391551349877</v>
      </c>
      <c r="AT55" s="10">
        <f t="shared" si="17"/>
        <v>81.00624492655507</v>
      </c>
    </row>
    <row r="56" spans="25:46" x14ac:dyDescent="0.25">
      <c r="Y56" s="10">
        <v>54</v>
      </c>
      <c r="Z56" s="10">
        <f t="shared" si="5"/>
        <v>41.686938347033525</v>
      </c>
      <c r="AA56" s="10" t="str">
        <f t="shared" si="6"/>
        <v>261.926758523382i</v>
      </c>
      <c r="AC56" s="10">
        <f>1/(2*$T$3+$T$6*$T$2/('4. Boost Inductor'!$B$11*$T$3^2)*($T$5-0.5))</f>
        <v>0.16903313049357674</v>
      </c>
      <c r="AD56" s="10" t="str">
        <f t="shared" si="7"/>
        <v>0.704376338659248-0.4550148421419i</v>
      </c>
      <c r="AE56" s="10" t="str">
        <f t="shared" si="8"/>
        <v>0.999999830103269-0.00085545276073659i</v>
      </c>
      <c r="AF56" s="10" t="str">
        <f t="shared" si="9"/>
        <v>23.7994244518298-15.4028845679469i</v>
      </c>
      <c r="AG56" s="10">
        <f t="shared" si="10"/>
        <v>28.348923387879317</v>
      </c>
      <c r="AH56" s="10">
        <f t="shared" si="0"/>
        <v>-0.57440128761015441</v>
      </c>
      <c r="AI56" s="10">
        <f t="shared" si="1"/>
        <v>-32.910769526941991</v>
      </c>
      <c r="AJ56" s="10">
        <f t="shared" si="2"/>
        <v>29.050731405261764</v>
      </c>
      <c r="AL56" s="10" t="str">
        <f t="shared" si="3"/>
        <v>0.0946586455712508-0.237351137963481i</v>
      </c>
      <c r="AM56" s="10" t="str">
        <f t="shared" si="4"/>
        <v>0.999993599527373-0.00252337368496872i</v>
      </c>
      <c r="AN56" s="10" t="str">
        <f t="shared" si="11"/>
        <v>-6.80211917712036+17.1818027162381i</v>
      </c>
      <c r="AO56" s="10">
        <f t="shared" si="12"/>
        <v>18.479263239628235</v>
      </c>
      <c r="AP56" s="10">
        <f t="shared" si="13"/>
        <v>1.9477553566013637</v>
      </c>
      <c r="AQ56" s="10">
        <f t="shared" si="14"/>
        <v>111.59816145725677</v>
      </c>
      <c r="AR56" s="10">
        <f t="shared" si="15"/>
        <v>25.333693041856634</v>
      </c>
      <c r="AS56" s="10">
        <f t="shared" si="16"/>
        <v>54.384424447118398</v>
      </c>
      <c r="AT56" s="10">
        <f t="shared" si="17"/>
        <v>78.687391930314774</v>
      </c>
    </row>
    <row r="57" spans="25:46" x14ac:dyDescent="0.25">
      <c r="Y57" s="10">
        <v>55</v>
      </c>
      <c r="Z57" s="10">
        <f t="shared" si="5"/>
        <v>44.668359215096302</v>
      </c>
      <c r="AA57" s="10" t="str">
        <f t="shared" si="6"/>
        <v>280.659578316113i</v>
      </c>
      <c r="AC57" s="10">
        <f>1/(2*$T$3+$T$6*$T$2/('4. Boost Inductor'!$B$11*$T$3^2)*($T$5-0.5))</f>
        <v>0.16903313049357674</v>
      </c>
      <c r="AD57" s="10" t="str">
        <f t="shared" si="7"/>
        <v>0.674875952948886-0.467019983260404i</v>
      </c>
      <c r="AE57" s="10" t="str">
        <f t="shared" si="8"/>
        <v>0.999999804932453-0.000916634142672707i</v>
      </c>
      <c r="AF57" s="10" t="str">
        <f t="shared" si="9"/>
        <v>22.8008023948791-15.8092801386242i</v>
      </c>
      <c r="AG57" s="10">
        <f t="shared" ref="AG57:AG120" si="18">IMABS(AF57)</f>
        <v>27.745448786275237</v>
      </c>
      <c r="AH57" s="10">
        <f t="shared" ref="AH57:AH120" si="19">IMARGUMENT(AF57)</f>
        <v>-0.60625910289271467</v>
      </c>
      <c r="AI57" s="10">
        <f t="shared" ref="AI57:AI120" si="20">AH57/(PI())*180</f>
        <v>-34.736087887140073</v>
      </c>
      <c r="AJ57" s="10">
        <f t="shared" ref="AJ57:AJ120" si="21">20*LOG(AG57,10)</f>
        <v>28.863835079544739</v>
      </c>
      <c r="AL57" s="10" t="str">
        <f t="shared" si="3"/>
        <v>0.0870827697009492-0.22336255233082i</v>
      </c>
      <c r="AM57" s="10" t="str">
        <f t="shared" si="4"/>
        <v>0.999992651281179-0.002703841040552i</v>
      </c>
      <c r="AN57" s="10" t="str">
        <f t="shared" si="11"/>
        <v>-6.25388597488148+16.1699284885082i</v>
      </c>
      <c r="AO57" s="10">
        <f t="shared" si="12"/>
        <v>17.3371761573299</v>
      </c>
      <c r="AP57" s="10">
        <f t="shared" si="13"/>
        <v>1.9398373028495792</v>
      </c>
      <c r="AQ57" s="10">
        <f t="shared" si="14"/>
        <v>111.1444903953218</v>
      </c>
      <c r="AR57" s="10">
        <f t="shared" si="15"/>
        <v>24.779567238629664</v>
      </c>
      <c r="AS57" s="10">
        <f t="shared" si="16"/>
        <v>53.643402318174402</v>
      </c>
      <c r="AT57" s="10">
        <f t="shared" si="17"/>
        <v>76.408402508181723</v>
      </c>
    </row>
    <row r="58" spans="25:46" x14ac:dyDescent="0.25">
      <c r="Y58" s="10">
        <v>56</v>
      </c>
      <c r="Z58" s="10">
        <f t="shared" si="5"/>
        <v>47.863009232263813</v>
      </c>
      <c r="AA58" s="10" t="str">
        <f t="shared" si="6"/>
        <v>300.732156365561i</v>
      </c>
      <c r="AC58" s="10">
        <f>1/(2*$T$3+$T$6*$T$2/('4. Boost Inductor'!$B$11*$T$3^2)*($T$5-0.5))</f>
        <v>0.16903313049357674</v>
      </c>
      <c r="AD58" s="10" t="str">
        <f t="shared" si="7"/>
        <v>0.643928437130727-0.477335420727663i</v>
      </c>
      <c r="AE58" s="10" t="str">
        <f t="shared" si="8"/>
        <v>0.999999776032492-0.000982191173346651i</v>
      </c>
      <c r="AF58" s="10" t="str">
        <f t="shared" si="9"/>
        <v>21.7531933155752-16.1584778447348i</v>
      </c>
      <c r="AG58" s="10">
        <f t="shared" si="18"/>
        <v>27.097930284130022</v>
      </c>
      <c r="AH58" s="10">
        <f t="shared" si="19"/>
        <v>-0.63888325949694957</v>
      </c>
      <c r="AI58" s="10">
        <f t="shared" si="20"/>
        <v>-36.605314370736579</v>
      </c>
      <c r="AJ58" s="10">
        <f t="shared" si="21"/>
        <v>28.658722422279354</v>
      </c>
      <c r="AL58" s="10" t="str">
        <f t="shared" si="3"/>
        <v>0.0803803948588051-0.209984472168683i</v>
      </c>
      <c r="AM58" s="10" t="str">
        <f t="shared" si="4"/>
        <v>0.999991562551106-0.00289721470257776i</v>
      </c>
      <c r="AN58" s="10" t="str">
        <f t="shared" si="11"/>
        <v>-5.76886367038701+15.2022633823169i</v>
      </c>
      <c r="AO58" s="10">
        <f t="shared" si="12"/>
        <v>16.260030750058391</v>
      </c>
      <c r="AP58" s="10">
        <f t="shared" si="13"/>
        <v>1.9334836255803671</v>
      </c>
      <c r="AQ58" s="10">
        <f t="shared" si="14"/>
        <v>110.78045150340772</v>
      </c>
      <c r="AR58" s="10">
        <f t="shared" si="15"/>
        <v>24.22242725144395</v>
      </c>
      <c r="AS58" s="10">
        <f t="shared" si="16"/>
        <v>52.8811496737233</v>
      </c>
      <c r="AT58" s="10">
        <f t="shared" si="17"/>
        <v>74.175137132671139</v>
      </c>
    </row>
    <row r="59" spans="25:46" x14ac:dyDescent="0.25">
      <c r="Y59" s="10">
        <v>57</v>
      </c>
      <c r="Z59" s="10">
        <f t="shared" si="5"/>
        <v>51.286138399136469</v>
      </c>
      <c r="AA59" s="10" t="str">
        <f t="shared" si="6"/>
        <v>322.240311251433i</v>
      </c>
      <c r="AC59" s="10">
        <f>1/(2*$T$3+$T$6*$T$2/('4. Boost Inductor'!$B$11*$T$3^2)*($T$5-0.5))</f>
        <v>0.16903313049357674</v>
      </c>
      <c r="AD59" s="10" t="str">
        <f t="shared" si="7"/>
        <v>0.611740043564334-0.485745709377296i</v>
      </c>
      <c r="AE59" s="10" t="str">
        <f t="shared" si="8"/>
        <v>0.999999742850896-0.00105243679584169i</v>
      </c>
      <c r="AF59" s="10" t="str">
        <f t="shared" si="9"/>
        <v>20.6635790939134-16.4431846585382i</v>
      </c>
      <c r="AG59" s="10">
        <f t="shared" si="18"/>
        <v>26.407609181544643</v>
      </c>
      <c r="AH59" s="10">
        <f t="shared" si="19"/>
        <v>-0.67214829655148067</v>
      </c>
      <c r="AI59" s="10">
        <f t="shared" si="20"/>
        <v>-38.511260599307505</v>
      </c>
      <c r="AJ59" s="10">
        <f t="shared" si="21"/>
        <v>28.434581680887284</v>
      </c>
      <c r="AL59" s="10" t="str">
        <f t="shared" si="3"/>
        <v>0.0744621697033295-0.197230072493623i</v>
      </c>
      <c r="AM59" s="10" t="str">
        <f t="shared" si="4"/>
        <v>0.999990312524669-0.00310441758446632i</v>
      </c>
      <c r="AN59" s="10" t="str">
        <f t="shared" si="11"/>
        <v>-5.34058627335375+14.2797629342342i</v>
      </c>
      <c r="AO59" s="10">
        <f t="shared" si="12"/>
        <v>15.245769616554732</v>
      </c>
      <c r="AP59" s="10">
        <f t="shared" si="13"/>
        <v>1.9286872280845389</v>
      </c>
      <c r="AQ59" s="10">
        <f t="shared" si="14"/>
        <v>110.50563817002966</v>
      </c>
      <c r="AR59" s="10">
        <f t="shared" si="15"/>
        <v>23.662987054561178</v>
      </c>
      <c r="AS59" s="10">
        <f t="shared" si="16"/>
        <v>52.097568735448462</v>
      </c>
      <c r="AT59" s="10">
        <f t="shared" si="17"/>
        <v>71.99437757072215</v>
      </c>
    </row>
    <row r="60" spans="25:46" x14ac:dyDescent="0.25">
      <c r="Y60" s="10">
        <v>58</v>
      </c>
      <c r="Z60" s="10">
        <f t="shared" si="5"/>
        <v>54.95408738576247</v>
      </c>
      <c r="AA60" s="10" t="str">
        <f t="shared" si="6"/>
        <v>345.286714431686i</v>
      </c>
      <c r="AC60" s="10">
        <f>1/(2*$T$3+$T$6*$T$2/('4. Boost Inductor'!$B$11*$T$3^2)*($T$5-0.5))</f>
        <v>0.16903313049357674</v>
      </c>
      <c r="AD60" s="10" t="str">
        <f t="shared" si="7"/>
        <v>0.578558273919716-0.492066618395601i</v>
      </c>
      <c r="AE60" s="10" t="str">
        <f t="shared" si="8"/>
        <v>0.999999704753328-0.00112770633464982i</v>
      </c>
      <c r="AF60" s="10" t="str">
        <f t="shared" si="9"/>
        <v>19.5403379465746-16.6571641969247i</v>
      </c>
      <c r="AG60" s="10">
        <f t="shared" si="18"/>
        <v>25.676563752762039</v>
      </c>
      <c r="AH60" s="10">
        <f t="shared" si="19"/>
        <v>-0.70591478928172813</v>
      </c>
      <c r="AI60" s="10">
        <f t="shared" si="20"/>
        <v>-40.445938121709865</v>
      </c>
      <c r="AJ60" s="10">
        <f t="shared" si="21"/>
        <v>28.190738049098133</v>
      </c>
      <c r="AL60" s="10" t="str">
        <f t="shared" si="3"/>
        <v>0.0692451971941042-0.185103335863217i</v>
      </c>
      <c r="AM60" s="10" t="str">
        <f t="shared" si="4"/>
        <v>0.999988877306162-0.00332643857429962i</v>
      </c>
      <c r="AN60" s="10" t="str">
        <f t="shared" si="11"/>
        <v>-4.96305485426309+13.4027176168506i</v>
      </c>
      <c r="AO60" s="10">
        <f t="shared" si="12"/>
        <v>14.292122060892911</v>
      </c>
      <c r="AP60" s="10">
        <f t="shared" si="13"/>
        <v>1.9254419669762508</v>
      </c>
      <c r="AQ60" s="10">
        <f t="shared" si="14"/>
        <v>110.31969840510681</v>
      </c>
      <c r="AR60" s="10">
        <f t="shared" si="15"/>
        <v>23.101934332172391</v>
      </c>
      <c r="AS60" s="10">
        <f t="shared" si="16"/>
        <v>51.292672381270521</v>
      </c>
      <c r="AT60" s="10">
        <f t="shared" si="17"/>
        <v>69.873760283396933</v>
      </c>
    </row>
    <row r="61" spans="25:46" x14ac:dyDescent="0.25">
      <c r="Y61" s="10">
        <v>59</v>
      </c>
      <c r="Z61" s="10">
        <f t="shared" si="5"/>
        <v>58.884365535558892</v>
      </c>
      <c r="AA61" s="10" t="str">
        <f t="shared" si="6"/>
        <v>369.981380355616i</v>
      </c>
      <c r="AC61" s="10">
        <f>1/(2*$T$3+$T$6*$T$2/('4. Boost Inductor'!$B$11*$T$3^2)*($T$5-0.5))</f>
        <v>0.16903313049357674</v>
      </c>
      <c r="AD61" s="10" t="str">
        <f t="shared" si="7"/>
        <v>0.544665467516634-0.496154528989174i</v>
      </c>
      <c r="AE61" s="10" t="str">
        <f t="shared" si="8"/>
        <v>0.999999661011467-0.00120835909635997i</v>
      </c>
      <c r="AF61" s="10" t="str">
        <f t="shared" si="9"/>
        <v>18.3930273848202-16.7955548434965i</v>
      </c>
      <c r="AG61" s="10">
        <f t="shared" si="18"/>
        <v>24.90771203622775</v>
      </c>
      <c r="AH61" s="10">
        <f t="shared" si="19"/>
        <v>-0.74003184373217001</v>
      </c>
      <c r="AI61" s="10">
        <f t="shared" si="20"/>
        <v>-42.400701351138203</v>
      </c>
      <c r="AJ61" s="10">
        <f t="shared" si="21"/>
        <v>27.926676722005229</v>
      </c>
      <c r="AL61" s="10" t="str">
        <f t="shared" si="3"/>
        <v>0.0646532486200985-0.173600751879882i</v>
      </c>
      <c r="AM61" s="10" t="str">
        <f t="shared" si="4"/>
        <v>0.999987229459942-0.00356433724603815i</v>
      </c>
      <c r="AN61" s="10" t="str">
        <f t="shared" si="11"/>
        <v>-4.63075303154832+12.5708758348217i</v>
      </c>
      <c r="AO61" s="10">
        <f t="shared" si="12"/>
        <v>13.396670963104906</v>
      </c>
      <c r="AP61" s="10">
        <f t="shared" si="13"/>
        <v>1.9237431285383957</v>
      </c>
      <c r="AQ61" s="10">
        <f t="shared" si="14"/>
        <v>110.2223621325431</v>
      </c>
      <c r="AR61" s="10">
        <f t="shared" si="15"/>
        <v>22.539937815094305</v>
      </c>
      <c r="AS61" s="10">
        <f t="shared" si="16"/>
        <v>50.466614537099531</v>
      </c>
      <c r="AT61" s="10">
        <f t="shared" si="17"/>
        <v>67.821660781404887</v>
      </c>
    </row>
    <row r="62" spans="25:46" x14ac:dyDescent="0.25">
      <c r="Y62" s="10">
        <v>60</v>
      </c>
      <c r="Z62" s="10">
        <f t="shared" si="5"/>
        <v>63.095734448019307</v>
      </c>
      <c r="AA62" s="10" t="str">
        <f t="shared" si="6"/>
        <v>396.4421916295i</v>
      </c>
      <c r="AC62" s="10">
        <f>1/(2*$T$3+$T$6*$T$2/('4. Boost Inductor'!$B$11*$T$3^2)*($T$5-0.5))</f>
        <v>0.16903313049357674</v>
      </c>
      <c r="AD62" s="10" t="str">
        <f t="shared" si="7"/>
        <v>0.510369890384385-0.497914172839233i</v>
      </c>
      <c r="AE62" s="10" t="str">
        <f t="shared" si="8"/>
        <v>0.999999610789092-0.00129478008482305i</v>
      </c>
      <c r="AF62" s="10" t="str">
        <f t="shared" si="9"/>
        <v>17.232082568895-16.8551317043803i</v>
      </c>
      <c r="AG62" s="10">
        <f t="shared" si="18"/>
        <v>24.104774100439542</v>
      </c>
      <c r="AH62" s="10">
        <f t="shared" si="19"/>
        <v>-0.77434019025230139</v>
      </c>
      <c r="AI62" s="10">
        <f t="shared" si="20"/>
        <v>-44.366424808814081</v>
      </c>
      <c r="AJ62" s="10">
        <f t="shared" si="21"/>
        <v>27.642061316345441</v>
      </c>
      <c r="AL62" s="10" t="str">
        <f t="shared" si="3"/>
        <v>0.060616752487663-0.162712819464569i</v>
      </c>
      <c r="AM62" s="10" t="str">
        <f t="shared" si="4"/>
        <v>0.999985337486069-0.00381924890601286i</v>
      </c>
      <c r="AN62" s="10" t="str">
        <f t="shared" si="11"/>
        <v>-4.33864616626475+11.7835526490538i</v>
      </c>
      <c r="AO62" s="10">
        <f t="shared" si="12"/>
        <v>12.556908998199621</v>
      </c>
      <c r="AP62" s="10">
        <f t="shared" si="13"/>
        <v>1.9235877380743491</v>
      </c>
      <c r="AQ62" s="10">
        <f t="shared" si="14"/>
        <v>110.21345891477667</v>
      </c>
      <c r="AR62" s="10">
        <f t="shared" si="15"/>
        <v>21.977654937331277</v>
      </c>
      <c r="AS62" s="10">
        <f t="shared" si="16"/>
        <v>49.619716253676714</v>
      </c>
      <c r="AT62" s="10">
        <f t="shared" si="17"/>
        <v>65.847034105962592</v>
      </c>
    </row>
    <row r="63" spans="25:46" x14ac:dyDescent="0.25">
      <c r="Y63" s="10">
        <v>61</v>
      </c>
      <c r="Z63" s="10">
        <f t="shared" si="5"/>
        <v>67.608297539198134</v>
      </c>
      <c r="AA63" s="10" t="str">
        <f t="shared" si="6"/>
        <v>424.795461741715i</v>
      </c>
      <c r="AC63" s="10">
        <f>1/(2*$T$3+$T$6*$T$2/('4. Boost Inductor'!$B$11*$T$3^2)*($T$5-0.5))</f>
        <v>0.16903313049357674</v>
      </c>
      <c r="AD63" s="10" t="str">
        <f t="shared" si="7"/>
        <v>0.475994861390259-0.497303960035544i</v>
      </c>
      <c r="AE63" s="10" t="str">
        <f t="shared" si="8"/>
        <v>0.999999553126092-0.00138738183898022i</v>
      </c>
      <c r="AF63" s="10" t="str">
        <f t="shared" si="9"/>
        <v>16.0684482149415-16.834486965163i</v>
      </c>
      <c r="AG63" s="10">
        <f t="shared" si="18"/>
        <v>23.272193266138448</v>
      </c>
      <c r="AH63" s="10">
        <f t="shared" si="19"/>
        <v>-0.80867573370753398</v>
      </c>
      <c r="AI63" s="10">
        <f t="shared" si="20"/>
        <v>-46.333706536086943</v>
      </c>
      <c r="AJ63" s="10">
        <f t="shared" si="21"/>
        <v>27.336746297874711</v>
      </c>
      <c r="AL63" s="10" t="str">
        <f t="shared" si="3"/>
        <v>0.0570726183887219-0.152425352125406i</v>
      </c>
      <c r="AM63" s="10" t="str">
        <f t="shared" si="4"/>
        <v>0.99998316521829-0.00409238999828649i</v>
      </c>
      <c r="AN63" s="10" t="str">
        <f t="shared" si="11"/>
        <v>-4.08216861486323+11.0397242453722i</v>
      </c>
      <c r="AO63" s="10">
        <f t="shared" si="12"/>
        <v>11.770285128833251</v>
      </c>
      <c r="AP63" s="10">
        <f t="shared" si="13"/>
        <v>1.9249747056499187</v>
      </c>
      <c r="AQ63" s="10">
        <f t="shared" si="14"/>
        <v>110.29292630317829</v>
      </c>
      <c r="AR63" s="10">
        <f t="shared" si="15"/>
        <v>21.415739670426966</v>
      </c>
      <c r="AS63" s="10">
        <f t="shared" si="16"/>
        <v>48.752485968301677</v>
      </c>
      <c r="AT63" s="10">
        <f t="shared" si="17"/>
        <v>63.959219767091348</v>
      </c>
    </row>
    <row r="64" spans="25:46" x14ac:dyDescent="0.25">
      <c r="Y64" s="10">
        <v>62</v>
      </c>
      <c r="Z64" s="10">
        <f t="shared" si="5"/>
        <v>72.443596007499011</v>
      </c>
      <c r="AA64" s="10" t="str">
        <f t="shared" si="6"/>
        <v>455.176538033571i</v>
      </c>
      <c r="AC64" s="10">
        <f>1/(2*$T$3+$T$6*$T$2/('4. Boost Inductor'!$B$11*$T$3^2)*($T$5-0.5))</f>
        <v>0.16903313049357674</v>
      </c>
      <c r="AD64" s="10" t="str">
        <f t="shared" si="7"/>
        <v>0.441866700064662-0.494338352990453i</v>
      </c>
      <c r="AE64" s="10" t="str">
        <f t="shared" si="8"/>
        <v>0.999999486920112-0.00148660640212635i</v>
      </c>
      <c r="AF64" s="10" t="str">
        <f t="shared" si="9"/>
        <v>14.9131706149889-16.7341102508651i</v>
      </c>
      <c r="AG64" s="10">
        <f t="shared" si="18"/>
        <v>22.415019600256365</v>
      </c>
      <c r="AH64" s="10">
        <f t="shared" si="19"/>
        <v>-0.84287337287026609</v>
      </c>
      <c r="AI64" s="10">
        <f t="shared" si="20"/>
        <v>-48.293086929422792</v>
      </c>
      <c r="AJ64" s="10">
        <f t="shared" si="21"/>
        <v>27.010782459199682</v>
      </c>
      <c r="AL64" s="10" t="str">
        <f t="shared" si="3"/>
        <v>0.0539639455182041-0.142720595054822i</v>
      </c>
      <c r="AM64" s="10" t="str">
        <f t="shared" si="4"/>
        <v>0.999980671132871-0.00438506389407801i</v>
      </c>
      <c r="AN64" s="10" t="str">
        <f t="shared" si="11"/>
        <v>-3.85720263435874+10.3381087869711i</v>
      </c>
      <c r="AO64" s="10">
        <f t="shared" si="12"/>
        <v>11.034242405065836</v>
      </c>
      <c r="AP64" s="10">
        <f t="shared" si="13"/>
        <v>1.9279048100097083</v>
      </c>
      <c r="AQ64" s="10">
        <f t="shared" si="14"/>
        <v>110.4608089165271</v>
      </c>
      <c r="AR64" s="10">
        <f t="shared" si="15"/>
        <v>20.854850409955002</v>
      </c>
      <c r="AS64" s="10">
        <f t="shared" si="16"/>
        <v>47.86563286915468</v>
      </c>
      <c r="AT64" s="10">
        <f t="shared" si="17"/>
        <v>62.167721987104308</v>
      </c>
    </row>
    <row r="65" spans="25:46" x14ac:dyDescent="0.25">
      <c r="Y65" s="10">
        <v>63</v>
      </c>
      <c r="Z65" s="10">
        <f t="shared" si="5"/>
        <v>77.624711662869146</v>
      </c>
      <c r="AA65" s="10" t="str">
        <f t="shared" si="6"/>
        <v>487.730447794191i</v>
      </c>
      <c r="AC65" s="10">
        <f>1/(2*$T$3+$T$6*$T$2/('4. Boost Inductor'!$B$11*$T$3^2)*($T$5-0.5))</f>
        <v>0.16903313049357674</v>
      </c>
      <c r="AD65" s="10" t="str">
        <f t="shared" si="7"/>
        <v>0.408302436224817-0.489087037651638i</v>
      </c>
      <c r="AE65" s="10" t="str">
        <f t="shared" si="8"/>
        <v>0.999999410905478-0.00159292743200756i</v>
      </c>
      <c r="AF65" s="10" t="str">
        <f t="shared" si="9"/>
        <v>13.7769815935488-16.5563605708033i</v>
      </c>
      <c r="AG65" s="10">
        <f t="shared" si="18"/>
        <v>21.538762665934009</v>
      </c>
      <c r="AH65" s="10">
        <f t="shared" si="19"/>
        <v>-0.87677087358627148</v>
      </c>
      <c r="AI65" s="10">
        <f t="shared" si="20"/>
        <v>-50.235270656491579</v>
      </c>
      <c r="AJ65" s="10">
        <f t="shared" si="21"/>
        <v>26.664415016572711</v>
      </c>
      <c r="AL65" s="10" t="str">
        <f t="shared" si="3"/>
        <v>0.0512396557472-0.133578168219343i</v>
      </c>
      <c r="AM65" s="10" t="str">
        <f t="shared" si="4"/>
        <v>0.999977807555088-0.00469866709213692i</v>
      </c>
      <c r="AN65" s="10" t="str">
        <f t="shared" si="11"/>
        <v>-3.66005182771123+9.6772346757057i</v>
      </c>
      <c r="AO65" s="10">
        <f t="shared" si="12"/>
        <v>10.346248129163206</v>
      </c>
      <c r="AP65" s="10">
        <f t="shared" si="13"/>
        <v>1.9323805205137572</v>
      </c>
      <c r="AQ65" s="10">
        <f t="shared" si="14"/>
        <v>110.71724823873149</v>
      </c>
      <c r="AR65" s="10">
        <f t="shared" si="15"/>
        <v>20.295657793531984</v>
      </c>
      <c r="AS65" s="10">
        <f t="shared" si="16"/>
        <v>46.960072810104691</v>
      </c>
      <c r="AT65" s="10">
        <f t="shared" si="17"/>
        <v>60.481977582239907</v>
      </c>
    </row>
    <row r="66" spans="25:46" x14ac:dyDescent="0.25">
      <c r="Y66" s="10">
        <v>64</v>
      </c>
      <c r="Z66" s="10">
        <f t="shared" si="5"/>
        <v>83.176377110267055</v>
      </c>
      <c r="AA66" s="10" t="str">
        <f t="shared" si="6"/>
        <v>522.612590563658i</v>
      </c>
      <c r="AC66" s="10">
        <f>1/(2*$T$3+$T$6*$T$2/('4. Boost Inductor'!$B$11*$T$3^2)*($T$5-0.5))</f>
        <v>0.16903313049357674</v>
      </c>
      <c r="AD66" s="10" t="str">
        <f t="shared" ref="AD66:AD129" si="22">IMDIV(IMSUM(1,IMDIV(AA66,$W$3)),IMSUM(1,IMDIV(AA66,$W$5)))</f>
        <v>0.375598253482868-0.481670979280129i</v>
      </c>
      <c r="AE66" s="10" t="str">
        <f t="shared" ref="AE66:AE129" si="23">IMDIV(IMSUM(1,IMDIV(IMPRODUCT(-1,AA66),$W$4)),IMSUM(1,IMDIV(AA66,$W$1*$W$2),IMDIV(IMPOWER(AA66,2),$W$1^2)))</f>
        <v>0.999999323629004-0.00170685246182376i</v>
      </c>
      <c r="AF66" s="10" t="str">
        <f t="shared" si="9"/>
        <v>12.6699073070429-16.3053328024159i</v>
      </c>
      <c r="AG66" s="10">
        <f t="shared" si="18"/>
        <v>20.649223447059676</v>
      </c>
      <c r="AH66" s="10">
        <f t="shared" si="19"/>
        <v>-0.91021257463226957</v>
      </c>
      <c r="AI66" s="10">
        <f t="shared" si="20"/>
        <v>-52.151338986165506</v>
      </c>
      <c r="AJ66" s="10">
        <f t="shared" si="21"/>
        <v>26.298074476750749</v>
      </c>
      <c r="AL66" s="10" t="str">
        <f t="shared" ref="AL66:AL129" si="24">IMDIV(IMSUM(1,IMDIV(AA66,wz1e)),IMSUM(1,IMDIV(AA66,wp1e)))</f>
        <v>0.048854082478147-0.124975852469846i</v>
      </c>
      <c r="AM66" s="10" t="str">
        <f t="shared" ref="AM66:AM129" si="25">IMDIV(IMSUM(1,IMDIV(AA66,wz2e)),IMSUM(1,IMDIV(AA66,wp2e)))</f>
        <v>0.999974519748215-0.00503469585874338i</v>
      </c>
      <c r="AN66" s="10" t="str">
        <f t="shared" si="11"/>
        <v>-3.48741138908677+9.05549745451155i</v>
      </c>
      <c r="AO66" s="10">
        <f t="shared" si="12"/>
        <v>9.7038174109675648</v>
      </c>
      <c r="AP66" s="10">
        <f t="shared" si="13"/>
        <v>1.9384056550249422</v>
      </c>
      <c r="AQ66" s="10">
        <f t="shared" si="14"/>
        <v>111.06246301722099</v>
      </c>
      <c r="AR66" s="10">
        <f t="shared" si="15"/>
        <v>19.738852323214687</v>
      </c>
      <c r="AS66" s="10">
        <f t="shared" si="16"/>
        <v>46.036926799965435</v>
      </c>
      <c r="AT66" s="10">
        <f t="shared" si="17"/>
        <v>58.911124031055486</v>
      </c>
    </row>
    <row r="67" spans="25:46" x14ac:dyDescent="0.25">
      <c r="Y67" s="10">
        <v>65</v>
      </c>
      <c r="Z67" s="10">
        <f t="shared" ref="Z67:Z130" si="26">10^(LOG($F$3/$F$2,10)*Y67/200)</f>
        <v>89.125093813374562</v>
      </c>
      <c r="AA67" s="10" t="str">
        <f t="shared" ref="AA67:AA130" si="27">IMPRODUCT(COMPLEX(0,1),2*PI()*Z67)</f>
        <v>559.989479949197i</v>
      </c>
      <c r="AC67" s="10">
        <f>1/(2*$T$3+$T$6*$T$2/('4. Boost Inductor'!$B$11*$T$3^2)*($T$5-0.5))</f>
        <v>0.16903313049357674</v>
      </c>
      <c r="AD67" s="10" t="str">
        <f t="shared" si="22"/>
        <v>0.344019540774096-0.472255771485016i</v>
      </c>
      <c r="AE67" s="10" t="str">
        <f t="shared" si="23"/>
        <v>0.999999223422207-0.00182892532292719i</v>
      </c>
      <c r="AF67" s="10" t="str">
        <f t="shared" ref="AF67:AF130" si="28">IMPRODUCT(AB$2,AC67,AD67,AE67)</f>
        <v>11.600931476565-15.986632548728i</v>
      </c>
      <c r="AG67" s="10">
        <f t="shared" si="18"/>
        <v>19.752317113999716</v>
      </c>
      <c r="AH67" s="10">
        <f t="shared" si="19"/>
        <v>-0.94305272262357454</v>
      </c>
      <c r="AI67" s="10">
        <f t="shared" si="20"/>
        <v>-54.032940864652304</v>
      </c>
      <c r="AJ67" s="10">
        <f t="shared" si="21"/>
        <v>25.91236098739882</v>
      </c>
      <c r="AL67" s="10" t="str">
        <f t="shared" si="24"/>
        <v>0.0467665390718327-0.116890236787628i</v>
      </c>
      <c r="AM67" s="10" t="str">
        <f t="shared" si="25"/>
        <v>0.999970744867647-0.00539475333789639i</v>
      </c>
      <c r="AN67" s="10" t="str">
        <f t="shared" ref="AN67:AN130" si="29">IMPRODUCT($AK$2,AL67,AM67)</f>
        <v>-3.33633687051574+8.47120666194878i</v>
      </c>
      <c r="AO67" s="10">
        <f t="shared" ref="AO67:AO130" si="30">IMABS(AN67)</f>
        <v>9.1045310710111913</v>
      </c>
      <c r="AP67" s="10">
        <f t="shared" ref="AP67:AP130" si="31">IMARGUMENT(AN67)</f>
        <v>1.945984870147234</v>
      </c>
      <c r="AQ67" s="10">
        <f t="shared" ref="AQ67:AQ130" si="32">AP67/(PI())*180</f>
        <v>111.49672005575006</v>
      </c>
      <c r="AR67" s="10">
        <f t="shared" ref="AR67:AR130" si="33">20*LOG(AO67,10)</f>
        <v>19.185151647282726</v>
      </c>
      <c r="AS67" s="10">
        <f t="shared" ref="AS67:AS130" si="34">AR67+AJ67</f>
        <v>45.09751263468155</v>
      </c>
      <c r="AT67" s="10">
        <f t="shared" ref="AT67:AT130" si="35">AQ67+AI67</f>
        <v>57.463779191097757</v>
      </c>
    </row>
    <row r="68" spans="25:46" x14ac:dyDescent="0.25">
      <c r="Y68" s="10">
        <v>66</v>
      </c>
      <c r="Z68" s="10">
        <f t="shared" si="26"/>
        <v>95.49925860214357</v>
      </c>
      <c r="AA68" s="10" t="str">
        <f t="shared" si="27"/>
        <v>600.039538495532i</v>
      </c>
      <c r="AC68" s="10">
        <f>1/(2*$T$3+$T$6*$T$2/('4. Boost Inductor'!$B$11*$T$3^2)*($T$5-0.5))</f>
        <v>0.16903313049357674</v>
      </c>
      <c r="AD68" s="10" t="str">
        <f t="shared" si="22"/>
        <v>0.313793217752936-0.461042941930756i</v>
      </c>
      <c r="AE68" s="10" t="str">
        <f t="shared" si="23"/>
        <v>0.999999108369417-0.00195972874077892i</v>
      </c>
      <c r="AF68" s="10" t="str">
        <f t="shared" si="28"/>
        <v>10.5777355936873-15.6070818268513i</v>
      </c>
      <c r="AG68" s="10">
        <f t="shared" si="18"/>
        <v>18.853898627074226</v>
      </c>
      <c r="AH68" s="10">
        <f t="shared" si="19"/>
        <v>-0.97515827002159805</v>
      </c>
      <c r="AI68" s="10">
        <f t="shared" si="20"/>
        <v>-55.872453229516282</v>
      </c>
      <c r="AJ68" s="10">
        <f t="shared" si="21"/>
        <v>25.508023353072254</v>
      </c>
      <c r="AL68" s="10" t="str">
        <f t="shared" si="24"/>
        <v>0.0449408844522179-0.109297244652123i</v>
      </c>
      <c r="AM68" s="10" t="str">
        <f t="shared" si="25"/>
        <v>0.99996641076018-0.00578055716423555i</v>
      </c>
      <c r="AN68" s="10" t="str">
        <f t="shared" si="29"/>
        <v>-3.20421274396696+7.92262394049514i</v>
      </c>
      <c r="AO68" s="10">
        <f t="shared" si="30"/>
        <v>8.5460487601643731</v>
      </c>
      <c r="AP68" s="10">
        <f t="shared" si="31"/>
        <v>1.9551229794499709</v>
      </c>
      <c r="AQ68" s="10">
        <f t="shared" si="32"/>
        <v>112.02029515152611</v>
      </c>
      <c r="AR68" s="10">
        <f t="shared" si="33"/>
        <v>18.635307327802614</v>
      </c>
      <c r="AS68" s="10">
        <f t="shared" si="34"/>
        <v>44.143330680874868</v>
      </c>
      <c r="AT68" s="10">
        <f t="shared" si="35"/>
        <v>56.147841922009832</v>
      </c>
    </row>
    <row r="69" spans="25:46" x14ac:dyDescent="0.25">
      <c r="Y69" s="10">
        <v>67</v>
      </c>
      <c r="Z69" s="10">
        <f t="shared" si="26"/>
        <v>102.32929922807544</v>
      </c>
      <c r="AA69" s="10" t="str">
        <f t="shared" si="27"/>
        <v>642.953949403827i</v>
      </c>
      <c r="AC69" s="10">
        <f>1/(2*$T$3+$T$6*$T$2/('4. Boost Inductor'!$B$11*$T$3^2)*($T$5-0.5))</f>
        <v>0.16903313049357674</v>
      </c>
      <c r="AD69" s="10" t="str">
        <f t="shared" si="22"/>
        <v>0.285102721480087-0.448260029582092i</v>
      </c>
      <c r="AE69" s="10" t="str">
        <f t="shared" si="23"/>
        <v>0.999998976271148-0.00209988711655217i</v>
      </c>
      <c r="AF69" s="10" t="str">
        <f t="shared" si="28"/>
        <v>9.6065292140372-15.1743831716395i</v>
      </c>
      <c r="AG69" s="10">
        <f t="shared" si="18"/>
        <v>17.959602116413553</v>
      </c>
      <c r="AH69" s="10">
        <f t="shared" si="19"/>
        <v>-1.0064110222165248</v>
      </c>
      <c r="AI69" s="10">
        <f t="shared" si="20"/>
        <v>-57.663104028453795</v>
      </c>
      <c r="AJ69" s="10">
        <f t="shared" si="21"/>
        <v>25.085934218385017</v>
      </c>
      <c r="AL69" s="10" t="str">
        <f t="shared" si="24"/>
        <v>0.0433450984816671-0.102172556602958i</v>
      </c>
      <c r="AM69" s="10" t="str">
        <f t="shared" si="25"/>
        <v>0.999961434585568-0.0061939476133211i</v>
      </c>
      <c r="AN69" s="10" t="str">
        <f t="shared" si="29"/>
        <v>-3.0887216700524+7.40799363414022i</v>
      </c>
      <c r="AO69" s="10">
        <f t="shared" si="30"/>
        <v>8.0261180678154318</v>
      </c>
      <c r="AP69" s="10">
        <f t="shared" si="31"/>
        <v>1.9658240957205357</v>
      </c>
      <c r="AQ69" s="10">
        <f t="shared" si="32"/>
        <v>112.63342394990825</v>
      </c>
      <c r="AR69" s="10">
        <f t="shared" si="33"/>
        <v>18.090110882248901</v>
      </c>
      <c r="AS69" s="10">
        <f t="shared" si="34"/>
        <v>43.176045100633914</v>
      </c>
      <c r="AT69" s="10">
        <f t="shared" si="35"/>
        <v>54.970319921454454</v>
      </c>
    </row>
    <row r="70" spans="25:46" x14ac:dyDescent="0.25">
      <c r="Y70" s="10">
        <v>68</v>
      </c>
      <c r="Z70" s="10">
        <f t="shared" si="26"/>
        <v>109.64781961431841</v>
      </c>
      <c r="AA70" s="10" t="str">
        <f t="shared" si="27"/>
        <v>688.937569164963i</v>
      </c>
      <c r="AC70" s="10">
        <f>1/(2*$T$3+$T$6*$T$2/('4. Boost Inductor'!$B$11*$T$3^2)*($T$5-0.5))</f>
        <v>0.16903313049357674</v>
      </c>
      <c r="AD70" s="10" t="str">
        <f t="shared" si="22"/>
        <v>0.258085743370235-0.434150282776123i</v>
      </c>
      <c r="AE70" s="10" t="str">
        <f t="shared" si="23"/>
        <v>0.999998824602048-0.00225006950765629i</v>
      </c>
      <c r="AF70" s="10" t="str">
        <f t="shared" si="28"/>
        <v>8.69197335036396-14.6967709039313i</v>
      </c>
      <c r="AG70" s="10">
        <f t="shared" si="18"/>
        <v>17.074702800519805</v>
      </c>
      <c r="AH70" s="10">
        <f t="shared" si="19"/>
        <v>-1.0367090780410837</v>
      </c>
      <c r="AI70" s="10">
        <f t="shared" si="20"/>
        <v>-59.399054754652788</v>
      </c>
      <c r="AJ70" s="10">
        <f t="shared" si="21"/>
        <v>24.647063063214809</v>
      </c>
      <c r="AL70" s="10" t="str">
        <f t="shared" si="24"/>
        <v>0.0419508757258198-0.0954919446953156i</v>
      </c>
      <c r="AM70" s="10" t="str">
        <f t="shared" si="25"/>
        <v>0.999955721234059-0.00663689632606634i</v>
      </c>
      <c r="AN70" s="10" t="str">
        <f t="shared" si="29"/>
        <v>-2.98781509703583+6.9255670114264i</v>
      </c>
      <c r="AO70" s="10">
        <f t="shared" si="30"/>
        <v>7.5425802934959085</v>
      </c>
      <c r="AP70" s="10">
        <f t="shared" si="31"/>
        <v>1.9780905953043981</v>
      </c>
      <c r="AQ70" s="10">
        <f t="shared" si="32"/>
        <v>113.33624260546256</v>
      </c>
      <c r="AR70" s="10">
        <f t="shared" si="33"/>
        <v>17.55039884187018</v>
      </c>
      <c r="AS70" s="10">
        <f t="shared" si="34"/>
        <v>42.197461905084992</v>
      </c>
      <c r="AT70" s="10">
        <f t="shared" si="35"/>
        <v>53.937187850809771</v>
      </c>
    </row>
    <row r="71" spans="25:46" x14ac:dyDescent="0.25">
      <c r="Y71" s="10">
        <v>69</v>
      </c>
      <c r="Z71" s="10">
        <f t="shared" si="26"/>
        <v>117.48975549395293</v>
      </c>
      <c r="AA71" s="10" t="str">
        <f t="shared" si="27"/>
        <v>738.209905463727i</v>
      </c>
      <c r="AC71" s="10">
        <f>1/(2*$T$3+$T$6*$T$2/('4. Boost Inductor'!$B$11*$T$3^2)*($T$5-0.5))</f>
        <v>0.16903313049357674</v>
      </c>
      <c r="AD71" s="10" t="str">
        <f t="shared" si="22"/>
        <v>0.232834534657635-0.418962754400921i</v>
      </c>
      <c r="AE71" s="10" t="str">
        <f t="shared" si="23"/>
        <v>0.999998650462637-0.00241099282140424i</v>
      </c>
      <c r="AF71" s="10" t="str">
        <f t="shared" si="28"/>
        <v>7.83719081289502-14.1826758413342i</v>
      </c>
      <c r="AG71" s="10">
        <f t="shared" si="18"/>
        <v>16.204007339485219</v>
      </c>
      <c r="AH71" s="10">
        <f t="shared" si="19"/>
        <v>-1.0659675649980487</v>
      </c>
      <c r="AI71" s="10">
        <f t="shared" si="20"/>
        <v>-61.075442572225441</v>
      </c>
      <c r="AJ71" s="10">
        <f t="shared" si="21"/>
        <v>24.19244862444134</v>
      </c>
      <c r="AL71" s="10" t="str">
        <f t="shared" si="24"/>
        <v>0.0407332431451343-0.0892315329454826i</v>
      </c>
      <c r="AM71" s="10" t="str">
        <f t="shared" si="25"/>
        <v>0.999949161509762-0.00711151564637213i</v>
      </c>
      <c r="AN71" s="10" t="str">
        <f t="shared" si="29"/>
        <v>-2.89968559076568+6.47362113415236i</v>
      </c>
      <c r="AO71" s="10">
        <f t="shared" si="30"/>
        <v>7.0933734649909832</v>
      </c>
      <c r="AP71" s="10">
        <f t="shared" si="31"/>
        <v>1.991921906667214</v>
      </c>
      <c r="AQ71" s="10">
        <f t="shared" si="32"/>
        <v>114.12871837168323</v>
      </c>
      <c r="AR71" s="10">
        <f t="shared" si="33"/>
        <v>17.017056519725319</v>
      </c>
      <c r="AS71" s="10">
        <f t="shared" si="34"/>
        <v>41.209505144166656</v>
      </c>
      <c r="AT71" s="10">
        <f t="shared" si="35"/>
        <v>53.053275799457793</v>
      </c>
    </row>
    <row r="72" spans="25:46" x14ac:dyDescent="0.25">
      <c r="Y72" s="10">
        <v>70</v>
      </c>
      <c r="Z72" s="10">
        <f t="shared" si="26"/>
        <v>125.89254117941665</v>
      </c>
      <c r="AA72" s="10" t="str">
        <f t="shared" si="27"/>
        <v>791.006165022012i</v>
      </c>
      <c r="AC72" s="10">
        <f>1/(2*$T$3+$T$6*$T$2/('4. Boost Inductor'!$B$11*$T$3^2)*($T$5-0.5))</f>
        <v>0.16903313049357674</v>
      </c>
      <c r="AD72" s="10" t="str">
        <f t="shared" si="22"/>
        <v>0.209398391145163-0.402943417439082i</v>
      </c>
      <c r="AE72" s="10" t="str">
        <f t="shared" si="23"/>
        <v>0.999998450523856-0.00258342523706221i</v>
      </c>
      <c r="AF72" s="10" t="str">
        <f t="shared" si="28"/>
        <v>7.04385032094764-13.6404245495657i</v>
      </c>
      <c r="AG72" s="10">
        <f t="shared" si="18"/>
        <v>15.351775442479246</v>
      </c>
      <c r="AH72" s="10">
        <f t="shared" si="19"/>
        <v>-1.0941187193781854</v>
      </c>
      <c r="AI72" s="10">
        <f t="shared" si="20"/>
        <v>-62.688384906628499</v>
      </c>
      <c r="AJ72" s="10">
        <f t="shared" si="21"/>
        <v>23.723172182951906</v>
      </c>
      <c r="AL72" s="10" t="str">
        <f t="shared" si="24"/>
        <v>0.0396702049100787-0.0833679961928954i</v>
      </c>
      <c r="AM72" s="10" t="str">
        <f t="shared" si="25"/>
        <v>0.999941630045239-0.00762006861334226i</v>
      </c>
      <c r="AN72" s="10" t="str">
        <f t="shared" si="29"/>
        <v>-2.82274112680246+6.05047327106873i</v>
      </c>
      <c r="AO72" s="10">
        <f t="shared" si="30"/>
        <v>6.6765331028056139</v>
      </c>
      <c r="AP72" s="10">
        <f t="shared" si="31"/>
        <v>2.0073131318749331</v>
      </c>
      <c r="AQ72" s="10">
        <f t="shared" si="32"/>
        <v>115.01057061762091</v>
      </c>
      <c r="AR72" s="10">
        <f t="shared" si="33"/>
        <v>16.491020132233029</v>
      </c>
      <c r="AS72" s="10">
        <f t="shared" si="34"/>
        <v>40.214192315184931</v>
      </c>
      <c r="AT72" s="10">
        <f t="shared" si="35"/>
        <v>52.322185710992414</v>
      </c>
    </row>
    <row r="73" spans="25:46" x14ac:dyDescent="0.25">
      <c r="Y73" s="10">
        <v>71</v>
      </c>
      <c r="Z73" s="10">
        <f t="shared" si="26"/>
        <v>134.89628825916537</v>
      </c>
      <c r="AA73" s="10" t="str">
        <f t="shared" si="27"/>
        <v>847.57837638305i</v>
      </c>
      <c r="AC73" s="10">
        <f>1/(2*$T$3+$T$6*$T$2/('4. Boost Inductor'!$B$11*$T$3^2)*($T$5-0.5))</f>
        <v>0.16903313049357674</v>
      </c>
      <c r="AD73" s="10" t="str">
        <f t="shared" si="22"/>
        <v>0.187787801736834-0.386327727423323i</v>
      </c>
      <c r="AE73" s="10" t="str">
        <f t="shared" si="23"/>
        <v>0.999998220963442-0.00276818987260916i</v>
      </c>
      <c r="AF73" s="10" t="str">
        <f t="shared" si="28"/>
        <v>6.31230693552766-13.0779875734665i</v>
      </c>
      <c r="AG73" s="10">
        <f t="shared" si="18"/>
        <v>14.521672693600236</v>
      </c>
      <c r="AH73" s="10">
        <f t="shared" si="19"/>
        <v>-1.1211113979928595</v>
      </c>
      <c r="AI73" s="10">
        <f t="shared" si="20"/>
        <v>-64.234951469002368</v>
      </c>
      <c r="AJ73" s="10">
        <f t="shared" si="21"/>
        <v>23.240332877916394</v>
      </c>
      <c r="AL73" s="10" t="str">
        <f t="shared" si="24"/>
        <v>0.03874241580067-0.0778787081711006i</v>
      </c>
      <c r="AM73" s="10" t="str">
        <f t="shared" si="25"/>
        <v>0.999932982907604-0.00816497965184891i</v>
      </c>
      <c r="AN73" s="10" t="str">
        <f t="shared" si="29"/>
        <v>-2.75558145035395+5.65449163766371i</v>
      </c>
      <c r="AO73" s="10">
        <f t="shared" si="30"/>
        <v>6.2901911584580334</v>
      </c>
      <c r="AP73" s="10">
        <f t="shared" si="31"/>
        <v>2.0242535190702586</v>
      </c>
      <c r="AQ73" s="10">
        <f t="shared" si="32"/>
        <v>115.98118330723052</v>
      </c>
      <c r="AR73" s="10">
        <f t="shared" si="33"/>
        <v>15.97327687647933</v>
      </c>
      <c r="AS73" s="10">
        <f t="shared" si="34"/>
        <v>39.213609754395726</v>
      </c>
      <c r="AT73" s="10">
        <f t="shared" si="35"/>
        <v>51.746231838228155</v>
      </c>
    </row>
    <row r="74" spans="25:46" x14ac:dyDescent="0.25">
      <c r="Y74" s="10">
        <v>72</v>
      </c>
      <c r="Z74" s="10">
        <f t="shared" si="26"/>
        <v>144.54397707459273</v>
      </c>
      <c r="AA74" s="10" t="str">
        <f t="shared" si="27"/>
        <v>908.196592996384i</v>
      </c>
      <c r="AC74" s="10">
        <f>1/(2*$T$3+$T$6*$T$2/('4. Boost Inductor'!$B$11*$T$3^2)*($T$5-0.5))</f>
        <v>0.16903313049357674</v>
      </c>
      <c r="AD74" s="10" t="str">
        <f t="shared" si="22"/>
        <v>0.167979700802581-0.369334853974428i</v>
      </c>
      <c r="AE74" s="10" t="str">
        <f t="shared" si="23"/>
        <v>0.999997957392849-0.00296616871370017i</v>
      </c>
      <c r="AF74" s="10" t="str">
        <f t="shared" si="28"/>
        <v>5.64177985792106-12.5027841684067i</v>
      </c>
      <c r="AG74" s="10">
        <f t="shared" si="18"/>
        <v>13.716752236845462</v>
      </c>
      <c r="AH74" s="10">
        <f t="shared" si="19"/>
        <v>-1.1469101306907319</v>
      </c>
      <c r="AI74" s="10">
        <f t="shared" si="20"/>
        <v>-65.713109969376603</v>
      </c>
      <c r="AJ74" s="10">
        <f t="shared" si="21"/>
        <v>22.745025882536865</v>
      </c>
      <c r="AL74" s="10" t="str">
        <f t="shared" si="24"/>
        <v>0.0379328833961712-0.0727418480470529i</v>
      </c>
      <c r="AM74" s="10" t="str">
        <f t="shared" si="25"/>
        <v>0.9999230548506-0.00874884600764643i</v>
      </c>
      <c r="AN74" s="10" t="str">
        <f t="shared" si="29"/>
        <v>-2.69697651880665+5.28410313220657i</v>
      </c>
      <c r="AO74" s="10">
        <f t="shared" si="30"/>
        <v>5.9325734934166396</v>
      </c>
      <c r="AP74" s="10">
        <f t="shared" si="31"/>
        <v>2.0427248163744687</v>
      </c>
      <c r="AQ74" s="10">
        <f t="shared" si="32"/>
        <v>117.03951068489313</v>
      </c>
      <c r="AR74" s="10">
        <f t="shared" si="33"/>
        <v>15.464862540274176</v>
      </c>
      <c r="AS74" s="10">
        <f t="shared" si="34"/>
        <v>38.209888422811041</v>
      </c>
      <c r="AT74" s="10">
        <f t="shared" si="35"/>
        <v>51.326400715516527</v>
      </c>
    </row>
    <row r="75" spans="25:46" x14ac:dyDescent="0.25">
      <c r="Y75" s="10">
        <v>73</v>
      </c>
      <c r="Z75" s="10">
        <f t="shared" si="26"/>
        <v>154.88166189124806</v>
      </c>
      <c r="AA75" s="10" t="str">
        <f t="shared" si="27"/>
        <v>973.150182346646i</v>
      </c>
      <c r="AC75" s="10">
        <f>1/(2*$T$3+$T$6*$T$2/('4. Boost Inductor'!$B$11*$T$3^2)*($T$5-0.5))</f>
        <v>0.16903313049357674</v>
      </c>
      <c r="AD75" s="10" t="str">
        <f t="shared" si="22"/>
        <v>0.149923288999359-0.352163620354706i</v>
      </c>
      <c r="AE75" s="10" t="str">
        <f t="shared" si="23"/>
        <v>0.999997654773356-0.00317830682357698i</v>
      </c>
      <c r="AF75" s="10" t="str">
        <f t="shared" si="28"/>
        <v>5.03054947118587-11.9215448500216i</v>
      </c>
      <c r="AG75" s="10">
        <f t="shared" si="18"/>
        <v>12.939461333190227</v>
      </c>
      <c r="AH75" s="10">
        <f t="shared" si="19"/>
        <v>-1.1714938316942056</v>
      </c>
      <c r="AI75" s="10">
        <f t="shared" si="20"/>
        <v>-67.121652281687176</v>
      </c>
      <c r="AJ75" s="10">
        <f t="shared" si="21"/>
        <v>22.238323942584945</v>
      </c>
      <c r="AL75" s="10" t="str">
        <f t="shared" si="24"/>
        <v>0.037226698382726-0.0679364732915782i</v>
      </c>
      <c r="AM75" s="10" t="str">
        <f t="shared" si="25"/>
        <v>0.999911656160375-0.00937444997567533i</v>
      </c>
      <c r="AN75" s="10" t="str">
        <f t="shared" si="29"/>
        <v>-2.64584697808816+4.93779863715688i</v>
      </c>
      <c r="AO75" s="10">
        <f t="shared" si="30"/>
        <v>5.6019962167576116</v>
      </c>
      <c r="AP75" s="10">
        <f t="shared" si="31"/>
        <v>2.0626995527920835</v>
      </c>
      <c r="AQ75" s="10">
        <f t="shared" si="32"/>
        <v>118.18397877850872</v>
      </c>
      <c r="AR75" s="10">
        <f t="shared" si="33"/>
        <v>14.966856223839356</v>
      </c>
      <c r="AS75" s="10">
        <f t="shared" si="34"/>
        <v>37.205180166424299</v>
      </c>
      <c r="AT75" s="10">
        <f t="shared" si="35"/>
        <v>51.062326496821541</v>
      </c>
    </row>
    <row r="76" spans="25:46" x14ac:dyDescent="0.25">
      <c r="Y76" s="10">
        <v>74</v>
      </c>
      <c r="Z76" s="10">
        <f t="shared" si="26"/>
        <v>165.95869074375608</v>
      </c>
      <c r="AA76" s="10" t="str">
        <f t="shared" si="27"/>
        <v>1042.74920727993i</v>
      </c>
      <c r="AC76" s="10">
        <f>1/(2*$T$3+$T$6*$T$2/('4. Boost Inductor'!$B$11*$T$3^2)*($T$5-0.5))</f>
        <v>0.16903313049357674</v>
      </c>
      <c r="AD76" s="10" t="str">
        <f t="shared" si="22"/>
        <v>0.133545960526108-0.334990045978033i</v>
      </c>
      <c r="AE76" s="10" t="str">
        <f t="shared" si="23"/>
        <v>0.999997307319738-0.00340561685400742i</v>
      </c>
      <c r="AF76" s="10" t="str">
        <f t="shared" si="28"/>
        <v>4.47615798455134-11.3402282059128i</v>
      </c>
      <c r="AG76" s="10">
        <f t="shared" si="18"/>
        <v>12.19166789511767</v>
      </c>
      <c r="AH76" s="10">
        <f t="shared" si="19"/>
        <v>-1.1948542852372035</v>
      </c>
      <c r="AI76" s="10">
        <f t="shared" si="20"/>
        <v>-68.460107677212392</v>
      </c>
      <c r="AJ76" s="10">
        <f t="shared" si="21"/>
        <v>21.721262476757211</v>
      </c>
      <c r="AL76" s="10" t="str">
        <f t="shared" si="24"/>
        <v>0.0366107917186429-0.0634425654989721i</v>
      </c>
      <c r="AM76" s="10" t="str">
        <f t="shared" si="25"/>
        <v>0.999898569035057-0.0100447719726173i</v>
      </c>
      <c r="AN76" s="10" t="str">
        <f t="shared" si="29"/>
        <v>-2.60124658152125+4.61413636496911i</v>
      </c>
      <c r="AO76" s="10">
        <f t="shared" si="30"/>
        <v>5.2968611622739692</v>
      </c>
      <c r="AP76" s="10">
        <f t="shared" si="31"/>
        <v>2.0841393090066189</v>
      </c>
      <c r="AQ76" s="10">
        <f t="shared" si="32"/>
        <v>119.41238632339099</v>
      </c>
      <c r="AR76" s="10">
        <f t="shared" si="33"/>
        <v>14.480371793057758</v>
      </c>
      <c r="AS76" s="10">
        <f t="shared" si="34"/>
        <v>36.201634269814967</v>
      </c>
      <c r="AT76" s="10">
        <f t="shared" si="35"/>
        <v>50.952278646178598</v>
      </c>
    </row>
    <row r="77" spans="25:46" x14ac:dyDescent="0.25">
      <c r="Y77" s="10">
        <v>75</v>
      </c>
      <c r="Z77" s="10">
        <f t="shared" si="26"/>
        <v>177.82794100389225</v>
      </c>
      <c r="AA77" s="10" t="str">
        <f t="shared" si="27"/>
        <v>1117.32590612165i</v>
      </c>
      <c r="AC77" s="10">
        <f>1/(2*$T$3+$T$6*$T$2/('4. Boost Inductor'!$B$11*$T$3^2)*($T$5-0.5))</f>
        <v>0.16903313049357674</v>
      </c>
      <c r="AD77" s="10" t="str">
        <f t="shared" si="22"/>
        <v>0.118758974982914-0.317966289283972i</v>
      </c>
      <c r="AE77" s="10" t="str">
        <f t="shared" si="23"/>
        <v>0.999996908389673-0.00364918387876902i</v>
      </c>
      <c r="AF77" s="10" t="str">
        <f t="shared" si="28"/>
        <v>3.975601432373-10.7639851113278i</v>
      </c>
      <c r="AG77" s="10">
        <f t="shared" si="18"/>
        <v>11.474701836037955</v>
      </c>
      <c r="AH77" s="10">
        <f t="shared" si="19"/>
        <v>-1.2169945100431796</v>
      </c>
      <c r="AI77" s="10">
        <f t="shared" si="20"/>
        <v>-69.728649116065668</v>
      </c>
      <c r="AJ77" s="10">
        <f t="shared" si="21"/>
        <v>21.194828188942783</v>
      </c>
      <c r="AL77" s="10" t="str">
        <f t="shared" si="24"/>
        <v>0.036073717028149-0.0592410546826153i</v>
      </c>
      <c r="AM77" s="10" t="str">
        <f t="shared" si="25"/>
        <v>0.999883543429379-0.0107630045071124i</v>
      </c>
      <c r="AN77" s="10" t="str">
        <f t="shared" si="29"/>
        <v>-2.56234643311571+4.3117436483698i</v>
      </c>
      <c r="AO77" s="10">
        <f t="shared" si="30"/>
        <v>5.0156507586312387</v>
      </c>
      <c r="AP77" s="10">
        <f t="shared" si="31"/>
        <v>2.1069930591891897</v>
      </c>
      <c r="AQ77" s="10">
        <f t="shared" si="32"/>
        <v>120.72180975489862</v>
      </c>
      <c r="AR77" s="10">
        <f t="shared" si="33"/>
        <v>14.006545776231016</v>
      </c>
      <c r="AS77" s="10">
        <f t="shared" si="34"/>
        <v>35.201373965173801</v>
      </c>
      <c r="AT77" s="10">
        <f t="shared" si="35"/>
        <v>50.993160638832947</v>
      </c>
    </row>
    <row r="78" spans="25:46" x14ac:dyDescent="0.25">
      <c r="Y78" s="10">
        <v>76</v>
      </c>
      <c r="Z78" s="10">
        <f t="shared" si="26"/>
        <v>190.54607179632481</v>
      </c>
      <c r="AA78" s="10" t="str">
        <f t="shared" si="27"/>
        <v>1197.23627865145i</v>
      </c>
      <c r="AC78" s="10">
        <f>1/(2*$T$3+$T$6*$T$2/('4. Boost Inductor'!$B$11*$T$3^2)*($T$5-0.5))</f>
        <v>0.16903313049357674</v>
      </c>
      <c r="AD78" s="10" t="str">
        <f t="shared" si="22"/>
        <v>0.105462619709513-0.301220735718308i</v>
      </c>
      <c r="AE78" s="10" t="str">
        <f t="shared" si="23"/>
        <v>0.999996450356758-0.00391017057272791i</v>
      </c>
      <c r="AF78" s="10" t="str">
        <f t="shared" si="28"/>
        <v>3.52550442522436-10.1971617080551i</v>
      </c>
      <c r="AG78" s="10">
        <f t="shared" si="18"/>
        <v>10.789406302132742</v>
      </c>
      <c r="AH78" s="10">
        <f t="shared" si="19"/>
        <v>-1.2379270910596007</v>
      </c>
      <c r="AI78" s="10">
        <f t="shared" si="20"/>
        <v>-70.927997662622261</v>
      </c>
      <c r="AJ78" s="10">
        <f t="shared" si="21"/>
        <v>20.659950957047496</v>
      </c>
      <c r="AL78" s="10" t="str">
        <f t="shared" si="24"/>
        <v>0.0356054563882508-0.0553138266299651i</v>
      </c>
      <c r="AM78" s="10" t="str">
        <f t="shared" si="25"/>
        <v>0.999866292285577-0.0115325671032684i</v>
      </c>
      <c r="AN78" s="10" t="str">
        <f t="shared" si="29"/>
        <v>-2.52842092229987+4.02931750691198i</v>
      </c>
      <c r="AO78" s="10">
        <f t="shared" si="30"/>
        <v>4.7569225274152922</v>
      </c>
      <c r="AP78" s="10">
        <f t="shared" si="31"/>
        <v>2.13119568216357</v>
      </c>
      <c r="AQ78" s="10">
        <f t="shared" si="32"/>
        <v>122.10851790447698</v>
      </c>
      <c r="AR78" s="10">
        <f t="shared" si="33"/>
        <v>13.546521568696459</v>
      </c>
      <c r="AS78" s="10">
        <f t="shared" si="34"/>
        <v>34.206472525743955</v>
      </c>
      <c r="AT78" s="10">
        <f t="shared" si="35"/>
        <v>51.180520241854722</v>
      </c>
    </row>
    <row r="79" spans="25:46" x14ac:dyDescent="0.25">
      <c r="Y79" s="10">
        <v>77</v>
      </c>
      <c r="Z79" s="10">
        <f t="shared" si="26"/>
        <v>204.17379446695278</v>
      </c>
      <c r="AA79" s="10" t="str">
        <f t="shared" si="27"/>
        <v>1282.86178550586i</v>
      </c>
      <c r="AC79" s="10">
        <f>1/(2*$T$3+$T$6*$T$2/('4. Boost Inductor'!$B$11*$T$3^2)*($T$5-0.5))</f>
        <v>0.16903313049357674</v>
      </c>
      <c r="AD79" s="10" t="str">
        <f t="shared" si="22"/>
        <v>0.0935507093307963-0.284858960483721i</v>
      </c>
      <c r="AE79" s="10" t="str">
        <f t="shared" si="23"/>
        <v>0.999995924464721-0.0041898227612081i</v>
      </c>
      <c r="AF79" s="10" t="str">
        <f t="shared" si="28"/>
        <v>3.12227246467922-9.64333199534345i</v>
      </c>
      <c r="AG79" s="10">
        <f t="shared" si="18"/>
        <v>10.136194419806122</v>
      </c>
      <c r="AH79" s="10">
        <f t="shared" si="19"/>
        <v>-1.2576725484460975</v>
      </c>
      <c r="AI79" s="10">
        <f t="shared" si="20"/>
        <v>-72.059329035423943</v>
      </c>
      <c r="AJ79" s="10">
        <f t="shared" si="21"/>
        <v>20.117498640978887</v>
      </c>
      <c r="AL79" s="10" t="str">
        <f t="shared" si="24"/>
        <v>0.0351972475853799-0.0516437170932476i</v>
      </c>
      <c r="AM79" s="10" t="str">
        <f t="shared" si="25"/>
        <v>0.999846486060233-0.0123571222351023i</v>
      </c>
      <c r="AN79" s="10" t="str">
        <f t="shared" si="29"/>
        <v>-2.49883521070251+3.76562426321419i</v>
      </c>
      <c r="AO79" s="10">
        <f t="shared" si="30"/>
        <v>4.519303431055949</v>
      </c>
      <c r="AP79" s="10">
        <f t="shared" si="31"/>
        <v>2.1566667538695348</v>
      </c>
      <c r="AQ79" s="10">
        <f t="shared" si="32"/>
        <v>123.56790281290385</v>
      </c>
      <c r="AR79" s="10">
        <f t="shared" si="33"/>
        <v>13.101430026487996</v>
      </c>
      <c r="AS79" s="10">
        <f t="shared" si="34"/>
        <v>33.218928667466884</v>
      </c>
      <c r="AT79" s="10">
        <f t="shared" si="35"/>
        <v>51.50857377747991</v>
      </c>
    </row>
    <row r="80" spans="25:46" x14ac:dyDescent="0.25">
      <c r="Y80" s="10">
        <v>78</v>
      </c>
      <c r="Z80" s="10">
        <f t="shared" si="26"/>
        <v>218.77616239495524</v>
      </c>
      <c r="AA80" s="10" t="str">
        <f t="shared" si="27"/>
        <v>1374.61116912112i</v>
      </c>
      <c r="AC80" s="10">
        <f>1/(2*$T$3+$T$6*$T$2/('4. Boost Inductor'!$B$11*$T$3^2)*($T$5-0.5))</f>
        <v>0.16903313049357674</v>
      </c>
      <c r="AD80" s="10" t="str">
        <f t="shared" si="22"/>
        <v>0.0829143544320653-0.268965308342257i</v>
      </c>
      <c r="AE80" s="10" t="str">
        <f t="shared" si="23"/>
        <v>0.999995320660021-0.00448947536610826i</v>
      </c>
      <c r="AF80" s="10" t="str">
        <f t="shared" si="28"/>
        <v>2.76221951729113-9.10535130878486i</v>
      </c>
      <c r="AG80" s="10">
        <f t="shared" si="18"/>
        <v>9.5151079404331611</v>
      </c>
      <c r="AH80" s="10">
        <f t="shared" si="19"/>
        <v>-1.2762577953686098</v>
      </c>
      <c r="AI80" s="10">
        <f t="shared" si="20"/>
        <v>-73.124185245292409</v>
      </c>
      <c r="AJ80" s="10">
        <f t="shared" si="21"/>
        <v>19.568274386709025</v>
      </c>
      <c r="AL80" s="10" t="str">
        <f t="shared" si="24"/>
        <v>0.0348414309143091-0.0482144959080682i</v>
      </c>
      <c r="AM80" s="10" t="str">
        <f t="shared" si="25"/>
        <v>0.99982374644354-0.0132405923312611i</v>
      </c>
      <c r="AN80" s="10" t="str">
        <f t="shared" si="29"/>
        <v>-2.4730341312617+3.51949843279013i</v>
      </c>
      <c r="AO80" s="10">
        <f t="shared" si="30"/>
        <v>4.3014842825235915</v>
      </c>
      <c r="AP80" s="10">
        <f t="shared" si="31"/>
        <v>2.1833097399345744</v>
      </c>
      <c r="AQ80" s="10">
        <f t="shared" si="32"/>
        <v>125.09443346805648</v>
      </c>
      <c r="AR80" s="10">
        <f t="shared" si="33"/>
        <v>12.672366806848995</v>
      </c>
      <c r="AS80" s="10">
        <f t="shared" si="34"/>
        <v>32.240641193558019</v>
      </c>
      <c r="AT80" s="10">
        <f t="shared" si="35"/>
        <v>51.97024822276407</v>
      </c>
    </row>
    <row r="81" spans="25:46" x14ac:dyDescent="0.25">
      <c r="Y81" s="10">
        <v>79</v>
      </c>
      <c r="Z81" s="10">
        <f t="shared" si="26"/>
        <v>234.42288153199212</v>
      </c>
      <c r="AA81" s="10" t="str">
        <f t="shared" si="27"/>
        <v>1472.92240490851i</v>
      </c>
      <c r="AC81" s="10">
        <f>1/(2*$T$3+$T$6*$T$2/('4. Boost Inductor'!$B$11*$T$3^2)*($T$5-0.5))</f>
        <v>0.16903313049357674</v>
      </c>
      <c r="AD81" s="10" t="str">
        <f t="shared" si="22"/>
        <v>0.0734449969569753-0.253604862989753i</v>
      </c>
      <c r="AE81" s="10" t="str">
        <f t="shared" si="23"/>
        <v>0.999994627399663-0.00481055877710872i</v>
      </c>
      <c r="AF81" s="10" t="str">
        <f t="shared" si="28"/>
        <v>2.4416707662876-8.58542298671152i</v>
      </c>
      <c r="AG81" s="10">
        <f t="shared" si="18"/>
        <v>8.9258749706512273</v>
      </c>
      <c r="AH81" s="10">
        <f t="shared" si="19"/>
        <v>-1.2937147192491192</v>
      </c>
      <c r="AI81" s="10">
        <f t="shared" si="20"/>
        <v>-74.124393306926734</v>
      </c>
      <c r="AJ81" s="10">
        <f t="shared" si="21"/>
        <v>19.013015983192279</v>
      </c>
      <c r="AL81" s="10" t="str">
        <f t="shared" si="24"/>
        <v>0.0345313136451061-0.0450108435567801i</v>
      </c>
      <c r="AM81" s="10" t="str">
        <f t="shared" si="25"/>
        <v>0.999797639152417-0.0141871779106347i</v>
      </c>
      <c r="AN81" s="10" t="str">
        <f t="shared" si="29"/>
        <v>-2.45053236375851+3.28984106974032i</v>
      </c>
      <c r="AO81" s="10">
        <f t="shared" si="30"/>
        <v>4.1022144178453184</v>
      </c>
      <c r="AP81" s="10">
        <f t="shared" si="31"/>
        <v>2.2110117040984725</v>
      </c>
      <c r="AQ81" s="10">
        <f t="shared" si="32"/>
        <v>126.68163909887051</v>
      </c>
      <c r="AR81" s="10">
        <f t="shared" si="33"/>
        <v>12.26036713358382</v>
      </c>
      <c r="AS81" s="10">
        <f t="shared" si="34"/>
        <v>31.273383116776099</v>
      </c>
      <c r="AT81" s="10">
        <f t="shared" si="35"/>
        <v>52.557245791943771</v>
      </c>
    </row>
    <row r="82" spans="25:46" x14ac:dyDescent="0.25">
      <c r="Y82" s="10">
        <v>80</v>
      </c>
      <c r="Z82" s="10">
        <f t="shared" si="26"/>
        <v>251.18864315095806</v>
      </c>
      <c r="AA82" s="10" t="str">
        <f t="shared" si="27"/>
        <v>1578.26479197648i</v>
      </c>
      <c r="AC82" s="10">
        <f>1/(2*$T$3+$T$6*$T$2/('4. Boost Inductor'!$B$11*$T$3^2)*($T$5-0.5))</f>
        <v>0.16903313049357674</v>
      </c>
      <c r="AD82" s="10" t="str">
        <f t="shared" si="22"/>
        <v>0.0650367559027892-0.238825617651897i</v>
      </c>
      <c r="AE82" s="10" t="str">
        <f t="shared" si="23"/>
        <v>0.999993831430528-0.00515460567833162i</v>
      </c>
      <c r="AF82" s="10" t="str">
        <f t="shared" si="28"/>
        <v>2.15704201602984-8.08517184823393i</v>
      </c>
      <c r="AG82" s="10">
        <f t="shared" si="18"/>
        <v>8.3679647510247399</v>
      </c>
      <c r="AH82" s="10">
        <f t="shared" si="19"/>
        <v>-1.3100789066678995</v>
      </c>
      <c r="AI82" s="10">
        <f t="shared" si="20"/>
        <v>-75.061992181183925</v>
      </c>
      <c r="AJ82" s="10">
        <f t="shared" si="21"/>
        <v>18.452396842348083</v>
      </c>
      <c r="AL82" s="10" t="str">
        <f t="shared" si="24"/>
        <v>0.0342610503747832-0.0420183222126468i</v>
      </c>
      <c r="AM82" s="10" t="str">
        <f t="shared" si="25"/>
        <v>0.999767665661614-0.0152013769101659i</v>
      </c>
      <c r="AN82" s="10" t="str">
        <f t="shared" si="29"/>
        <v>-2.43090575741106+3.07561771578509i</v>
      </c>
      <c r="AO82" s="10">
        <f t="shared" si="30"/>
        <v>3.9202968172149082</v>
      </c>
      <c r="AP82" s="10">
        <f t="shared" si="31"/>
        <v>2.2396436325418696</v>
      </c>
      <c r="AQ82" s="10">
        <f t="shared" si="32"/>
        <v>128.32212775799772</v>
      </c>
      <c r="AR82" s="10">
        <f t="shared" si="33"/>
        <v>11.866378999585246</v>
      </c>
      <c r="AS82" s="10">
        <f t="shared" si="34"/>
        <v>30.318775841933331</v>
      </c>
      <c r="AT82" s="10">
        <f t="shared" si="35"/>
        <v>53.260135576813795</v>
      </c>
    </row>
    <row r="83" spans="25:46" x14ac:dyDescent="0.25">
      <c r="Y83" s="10">
        <v>81</v>
      </c>
      <c r="Z83" s="10">
        <f t="shared" si="26"/>
        <v>269.15348039269156</v>
      </c>
      <c r="AA83" s="10" t="str">
        <f t="shared" si="27"/>
        <v>1691.14119337961i</v>
      </c>
      <c r="AC83" s="10">
        <f>1/(2*$T$3+$T$6*$T$2/('4. Boost Inductor'!$B$11*$T$3^2)*($T$5-0.5))</f>
        <v>0.16903313049357674</v>
      </c>
      <c r="AD83" s="10" t="str">
        <f t="shared" si="22"/>
        <v>0.0575881553597561-0.224660699902392i</v>
      </c>
      <c r="AE83" s="10" t="str">
        <f t="shared" si="23"/>
        <v>0.999992917536023-0.00552325836297842i</v>
      </c>
      <c r="AF83" s="10" t="str">
        <f t="shared" si="28"/>
        <v>1.9048981881052-7.60571950682141i</v>
      </c>
      <c r="AG83" s="10">
        <f t="shared" si="18"/>
        <v>7.8406381324156387</v>
      </c>
      <c r="AH83" s="10">
        <f t="shared" si="19"/>
        <v>-1.325388520486166</v>
      </c>
      <c r="AI83" s="10">
        <f t="shared" si="20"/>
        <v>-75.939168438945757</v>
      </c>
      <c r="AJ83" s="10">
        <f t="shared" si="21"/>
        <v>17.887028208047763</v>
      </c>
      <c r="AL83" s="10" t="str">
        <f t="shared" si="24"/>
        <v>0.0340255375941312-0.0392233429014591i</v>
      </c>
      <c r="AM83" s="10" t="str">
        <f t="shared" si="25"/>
        <v>0.999733253717314-0.0162880052660514i</v>
      </c>
      <c r="AN83" s="10" t="str">
        <f t="shared" si="29"/>
        <v>-2.4137836793567+2.87585607121721i</v>
      </c>
      <c r="AO83" s="10">
        <f t="shared" si="30"/>
        <v>3.75458383753588</v>
      </c>
      <c r="AP83" s="10">
        <f t="shared" si="31"/>
        <v>2.2690614444146808</v>
      </c>
      <c r="AQ83" s="10">
        <f t="shared" si="32"/>
        <v>130.00764422081966</v>
      </c>
      <c r="AR83" s="10">
        <f t="shared" si="33"/>
        <v>11.491236125989222</v>
      </c>
      <c r="AS83" s="10">
        <f t="shared" si="34"/>
        <v>29.378264334036984</v>
      </c>
      <c r="AT83" s="10">
        <f t="shared" si="35"/>
        <v>54.0684757818739</v>
      </c>
    </row>
    <row r="84" spans="25:46" x14ac:dyDescent="0.25">
      <c r="Y84" s="10">
        <v>82</v>
      </c>
      <c r="Z84" s="10">
        <f t="shared" si="26"/>
        <v>288.4031503126605</v>
      </c>
      <c r="AA84" s="10" t="str">
        <f t="shared" si="27"/>
        <v>1812.09043658881i</v>
      </c>
      <c r="AC84" s="10">
        <f>1/(2*$T$3+$T$6*$T$2/('4. Boost Inductor'!$B$11*$T$3^2)*($T$5-0.5))</f>
        <v>0.16903313049357674</v>
      </c>
      <c r="AD84" s="10" t="str">
        <f t="shared" si="22"/>
        <v>0.0510033212411591-0.211130542767553i</v>
      </c>
      <c r="AE84" s="10" t="str">
        <f t="shared" si="23"/>
        <v>0.999991868245181-0.0059182765707859i</v>
      </c>
      <c r="AF84" s="10" t="str">
        <f t="shared" si="28"/>
        <v>1.68199383198165-7.14775786568216i</v>
      </c>
      <c r="AG84" s="10">
        <f t="shared" si="18"/>
        <v>7.3429929699847518</v>
      </c>
      <c r="AH84" s="10">
        <f t="shared" si="19"/>
        <v>-1.3396833289369083</v>
      </c>
      <c r="AI84" s="10">
        <f t="shared" si="20"/>
        <v>-76.75820063212123</v>
      </c>
      <c r="AJ84" s="10">
        <f t="shared" si="21"/>
        <v>17.317462248486152</v>
      </c>
      <c r="AL84" s="10" t="str">
        <f t="shared" si="24"/>
        <v>0.0338203209262317-0.0366131300871959i</v>
      </c>
      <c r="AM84" s="10" t="str">
        <f t="shared" si="25"/>
        <v>0.999693746455235-0.0174522188084027i</v>
      </c>
      <c r="AN84" s="10" t="str">
        <f t="shared" si="29"/>
        <v>-2.39884227691664+2.68964348246399i</v>
      </c>
      <c r="AO84" s="10">
        <f t="shared" si="30"/>
        <v>3.603973686402778</v>
      </c>
      <c r="AP84" s="10">
        <f t="shared" si="31"/>
        <v>2.2991077156002668</v>
      </c>
      <c r="AQ84" s="10">
        <f t="shared" si="32"/>
        <v>131.72916874985927</v>
      </c>
      <c r="AR84" s="10">
        <f t="shared" si="33"/>
        <v>11.135632228317025</v>
      </c>
      <c r="AS84" s="10">
        <f t="shared" si="34"/>
        <v>28.453094476803177</v>
      </c>
      <c r="AT84" s="10">
        <f t="shared" si="35"/>
        <v>54.970968117738039</v>
      </c>
    </row>
    <row r="85" spans="25:46" x14ac:dyDescent="0.25">
      <c r="Y85" s="10">
        <v>83</v>
      </c>
      <c r="Z85" s="10">
        <f t="shared" si="26"/>
        <v>309.02954325135909</v>
      </c>
      <c r="AA85" s="10" t="str">
        <f t="shared" si="27"/>
        <v>1941.68988564136i</v>
      </c>
      <c r="AC85" s="10">
        <f>1/(2*$T$3+$T$6*$T$2/('4. Boost Inductor'!$B$11*$T$3^2)*($T$5-0.5))</f>
        <v>0.16903313049357674</v>
      </c>
      <c r="AD85" s="10" t="str">
        <f t="shared" si="22"/>
        <v>0.045192736797204-0.198244928347396i</v>
      </c>
      <c r="AE85" s="10" t="str">
        <f t="shared" si="23"/>
        <v>0.99999066349869-0.00634154588561755i</v>
      </c>
      <c r="AF85" s="10" t="str">
        <f t="shared" si="28"/>
        <v>1.48529869998146-6.71161829775047i</v>
      </c>
      <c r="AG85" s="10">
        <f t="shared" si="18"/>
        <v>6.8740041026221048</v>
      </c>
      <c r="AH85" s="10">
        <f t="shared" si="19"/>
        <v>-1.3530038801616653</v>
      </c>
      <c r="AI85" s="10">
        <f t="shared" si="20"/>
        <v>-77.521411998087629</v>
      </c>
      <c r="AJ85" s="10">
        <f t="shared" si="21"/>
        <v>16.744195740038123</v>
      </c>
      <c r="AL85" s="10" t="str">
        <f t="shared" si="24"/>
        <v>0.0336415136236924-0.0341756847168994i</v>
      </c>
      <c r="AM85" s="10" t="str">
        <f t="shared" si="25"/>
        <v>0.999648389919658-0.0186995365269591i</v>
      </c>
      <c r="AN85" s="10" t="str">
        <f t="shared" si="29"/>
        <v>-2.3857985509261+2.51612432130185i</v>
      </c>
      <c r="AO85" s="10">
        <f t="shared" si="30"/>
        <v>3.4674077242008581</v>
      </c>
      <c r="AP85" s="10">
        <f t="shared" si="31"/>
        <v>2.3296140890238144</v>
      </c>
      <c r="AQ85" s="10">
        <f t="shared" si="32"/>
        <v>133.47705519527861</v>
      </c>
      <c r="AR85" s="10">
        <f t="shared" si="33"/>
        <v>10.80009824621939</v>
      </c>
      <c r="AS85" s="10">
        <f t="shared" si="34"/>
        <v>27.544293986257514</v>
      </c>
      <c r="AT85" s="10">
        <f t="shared" si="35"/>
        <v>55.95564319719098</v>
      </c>
    </row>
    <row r="86" spans="25:46" x14ac:dyDescent="0.25">
      <c r="Y86" s="10">
        <v>84</v>
      </c>
      <c r="Z86" s="10">
        <f t="shared" si="26"/>
        <v>331.13112148259108</v>
      </c>
      <c r="AA86" s="10" t="str">
        <f t="shared" si="27"/>
        <v>2080.55819724932i</v>
      </c>
      <c r="AC86" s="10">
        <f>1/(2*$T$3+$T$6*$T$2/('4. Boost Inductor'!$B$11*$T$3^2)*($T$5-0.5))</f>
        <v>0.16903313049357674</v>
      </c>
      <c r="AD86" s="10" t="str">
        <f t="shared" si="22"/>
        <v>0.0400736435480029-0.186004858307497i</v>
      </c>
      <c r="AE86" s="10" t="str">
        <f t="shared" si="23"/>
        <v>0.999989280265417-0.00679508673316048i</v>
      </c>
      <c r="AF86" s="10" t="str">
        <f t="shared" si="28"/>
        <v>1.31201131927626-6.29733496512533i</v>
      </c>
      <c r="AG86" s="10">
        <f t="shared" si="18"/>
        <v>6.4325579177259709</v>
      </c>
      <c r="AH86" s="10">
        <f t="shared" si="19"/>
        <v>-1.3653908115649389</v>
      </c>
      <c r="AI86" s="10">
        <f t="shared" si="20"/>
        <v>-78.231130888613279</v>
      </c>
      <c r="AJ86" s="10">
        <f t="shared" si="21"/>
        <v>16.1676741043653</v>
      </c>
      <c r="AL86" s="10" t="str">
        <f t="shared" si="24"/>
        <v>0.0334857250413858-0.0318997465376825i</v>
      </c>
      <c r="AM86" s="10" t="str">
        <f t="shared" si="25"/>
        <v>0.999596318750628-0.0200358652612635i</v>
      </c>
      <c r="AN86" s="10" t="str">
        <f t="shared" si="29"/>
        <v>-2.37440514673423+2.35449731467308i</v>
      </c>
      <c r="AO86" s="10">
        <f t="shared" si="30"/>
        <v>3.3438686286456805</v>
      </c>
      <c r="AP86" s="10">
        <f t="shared" si="31"/>
        <v>2.3604042861479062</v>
      </c>
      <c r="AQ86" s="10">
        <f t="shared" si="32"/>
        <v>135.24120354086492</v>
      </c>
      <c r="AR86" s="10">
        <f t="shared" si="33"/>
        <v>10.484984137450875</v>
      </c>
      <c r="AS86" s="10">
        <f t="shared" si="34"/>
        <v>26.652658241816177</v>
      </c>
      <c r="AT86" s="10">
        <f t="shared" si="35"/>
        <v>57.010072652251637</v>
      </c>
    </row>
    <row r="87" spans="25:46" x14ac:dyDescent="0.25">
      <c r="Y87" s="10">
        <v>85</v>
      </c>
      <c r="Z87" s="10">
        <f t="shared" si="26"/>
        <v>354.81338923357566</v>
      </c>
      <c r="AA87" s="10" t="str">
        <f t="shared" si="27"/>
        <v>2229.35827402299i</v>
      </c>
      <c r="AC87" s="10">
        <f>1/(2*$T$3+$T$6*$T$2/('4. Boost Inductor'!$B$11*$T$3^2)*($T$5-0.5))</f>
        <v>0.16903313049357674</v>
      </c>
      <c r="AD87" s="10" t="str">
        <f t="shared" si="22"/>
        <v>0.0355701664031583-0.174404227552064i</v>
      </c>
      <c r="AE87" s="10" t="str">
        <f t="shared" si="23"/>
        <v>0.999987692102146-0.00728106402153587i</v>
      </c>
      <c r="AF87" s="10" t="str">
        <f t="shared" si="28"/>
        <v>1.15956322727351-5.90470147604747i</v>
      </c>
      <c r="AG87" s="10">
        <f t="shared" si="18"/>
        <v>6.017481732359653</v>
      </c>
      <c r="AH87" s="10">
        <f t="shared" si="19"/>
        <v>-1.3768842809876696</v>
      </c>
      <c r="AI87" s="10">
        <f t="shared" si="20"/>
        <v>-78.889658178498408</v>
      </c>
      <c r="AJ87" s="10">
        <f t="shared" si="21"/>
        <v>15.588295610690608</v>
      </c>
      <c r="AL87" s="10" t="str">
        <f t="shared" si="24"/>
        <v>0.0333499979268109-0.0297747563176241i</v>
      </c>
      <c r="AM87" s="10" t="str">
        <f t="shared" si="25"/>
        <v>0.999536539773419-0.0214675258623406i</v>
      </c>
      <c r="AN87" s="10" t="str">
        <f t="shared" si="29"/>
        <v>-2.36444577847195+2.20401287093036i</v>
      </c>
      <c r="AO87" s="10">
        <f t="shared" si="30"/>
        <v>3.2323793983009659</v>
      </c>
      <c r="AP87" s="10">
        <f t="shared" si="31"/>
        <v>2.3912975780956565</v>
      </c>
      <c r="AQ87" s="10">
        <f t="shared" si="32"/>
        <v>137.0112587847365</v>
      </c>
      <c r="AR87" s="10">
        <f t="shared" si="33"/>
        <v>10.190446602188704</v>
      </c>
      <c r="AS87" s="10">
        <f t="shared" si="34"/>
        <v>25.778742212879312</v>
      </c>
      <c r="AT87" s="10">
        <f t="shared" si="35"/>
        <v>58.12160060623809</v>
      </c>
    </row>
    <row r="88" spans="25:46" x14ac:dyDescent="0.25">
      <c r="Y88" s="10">
        <v>86</v>
      </c>
      <c r="Z88" s="10">
        <f t="shared" si="26"/>
        <v>380.18939632056095</v>
      </c>
      <c r="AA88" s="10" t="str">
        <f t="shared" si="27"/>
        <v>2388.80042890683i</v>
      </c>
      <c r="AC88" s="10">
        <f>1/(2*$T$3+$T$6*$T$2/('4. Boost Inductor'!$B$11*$T$3^2)*($T$5-0.5))</f>
        <v>0.16903313049357674</v>
      </c>
      <c r="AD88" s="10" t="str">
        <f t="shared" si="22"/>
        <v>0.0316132316085241-0.163431293672803i</v>
      </c>
      <c r="AE88" s="10" t="str">
        <f t="shared" si="23"/>
        <v>0.999985868648082-0.00780179747066622i</v>
      </c>
      <c r="AF88" s="10" t="str">
        <f t="shared" si="28"/>
        <v>1.02561619395601-5.53332062873836i</v>
      </c>
      <c r="AG88" s="10">
        <f t="shared" si="18"/>
        <v>5.6275683698846608</v>
      </c>
      <c r="AH88" s="10">
        <f t="shared" si="19"/>
        <v>-1.3875235056537933</v>
      </c>
      <c r="AI88" s="10">
        <f t="shared" si="20"/>
        <v>-79.499240849158781</v>
      </c>
      <c r="AJ88" s="10">
        <f t="shared" si="21"/>
        <v>15.006415599824376</v>
      </c>
      <c r="AL88" s="10" t="str">
        <f t="shared" si="24"/>
        <v>0.0332317534888447-0.027790818455259i</v>
      </c>
      <c r="AM88" s="10" t="str">
        <f t="shared" si="25"/>
        <v>0.999467913186716-0.0230012808637765i</v>
      </c>
      <c r="AN88" s="10" t="str">
        <f t="shared" si="29"/>
        <v>-2.35573121068563+2.06397043767194i</v>
      </c>
      <c r="AO88" s="10">
        <f t="shared" si="30"/>
        <v>3.1320031137567668</v>
      </c>
      <c r="AP88" s="10">
        <f t="shared" si="31"/>
        <v>2.4221125291473538</v>
      </c>
      <c r="AQ88" s="10">
        <f t="shared" si="32"/>
        <v>138.77682542590097</v>
      </c>
      <c r="AR88" s="10">
        <f t="shared" si="33"/>
        <v>9.9164437030100032</v>
      </c>
      <c r="AS88" s="10">
        <f t="shared" si="34"/>
        <v>24.922859302834379</v>
      </c>
      <c r="AT88" s="10">
        <f t="shared" si="35"/>
        <v>59.277584576742186</v>
      </c>
    </row>
    <row r="89" spans="25:46" x14ac:dyDescent="0.25">
      <c r="Y89" s="10">
        <v>87</v>
      </c>
      <c r="Z89" s="10">
        <f t="shared" si="26"/>
        <v>407.38027780411232</v>
      </c>
      <c r="AA89" s="10" t="str">
        <f t="shared" si="27"/>
        <v>2559.64577593354i</v>
      </c>
      <c r="AC89" s="10">
        <f>1/(2*$T$3+$T$6*$T$2/('4. Boost Inductor'!$B$11*$T$3^2)*($T$5-0.5))</f>
        <v>0.16903313049357674</v>
      </c>
      <c r="AD89" s="10" t="str">
        <f t="shared" si="22"/>
        <v>0.028140335311178-0.153069946193819i</v>
      </c>
      <c r="AE89" s="10" t="str">
        <f t="shared" si="23"/>
        <v>0.999983775044469-0.00835977267948948i</v>
      </c>
      <c r="AF89" s="10" t="str">
        <f t="shared" si="28"/>
        <v>0.90805438746609-5.18264737819726i</v>
      </c>
      <c r="AG89" s="10">
        <f t="shared" si="18"/>
        <v>5.2615963943779791</v>
      </c>
      <c r="AH89" s="10">
        <f t="shared" si="19"/>
        <v>-1.3973463947533715</v>
      </c>
      <c r="AI89" s="10">
        <f t="shared" si="20"/>
        <v>-80.062050937189667</v>
      </c>
      <c r="AJ89" s="10">
        <f t="shared" si="21"/>
        <v>14.422350624833467</v>
      </c>
      <c r="AL89" s="10" t="str">
        <f t="shared" si="24"/>
        <v>0.033128743316262-0.0259386643435285i</v>
      </c>
      <c r="AM89" s="10" t="str">
        <f t="shared" si="25"/>
        <v>0.999389131003237-0.0246443636874836i</v>
      </c>
      <c r="AN89" s="10" t="str">
        <f t="shared" si="29"/>
        <v>-2.34809572934024+1.93371591770178i</v>
      </c>
      <c r="AO89" s="10">
        <f t="shared" si="30"/>
        <v>3.0418433234667286</v>
      </c>
      <c r="AP89" s="10">
        <f t="shared" si="31"/>
        <v>2.4526707972560877</v>
      </c>
      <c r="AQ89" s="10">
        <f t="shared" si="32"/>
        <v>140.52768521776062</v>
      </c>
      <c r="AR89" s="10">
        <f t="shared" si="33"/>
        <v>9.6627368208604221</v>
      </c>
      <c r="AS89" s="10">
        <f t="shared" si="34"/>
        <v>24.085087445693887</v>
      </c>
      <c r="AT89" s="10">
        <f t="shared" si="35"/>
        <v>60.465634280570953</v>
      </c>
    </row>
    <row r="90" spans="25:46" x14ac:dyDescent="0.25">
      <c r="Y90" s="10">
        <v>88</v>
      </c>
      <c r="Z90" s="10">
        <f t="shared" si="26"/>
        <v>436.51583224016542</v>
      </c>
      <c r="AA90" s="10" t="str">
        <f t="shared" si="27"/>
        <v>2742.70986348268i</v>
      </c>
      <c r="AC90" s="10">
        <f>1/(2*$T$3+$T$6*$T$2/('4. Boost Inductor'!$B$11*$T$3^2)*($T$5-0.5))</f>
        <v>0.16903313049357674</v>
      </c>
      <c r="AD90" s="10" t="str">
        <f t="shared" si="22"/>
        <v>0.0250952099755704-0.14330078711953i</v>
      </c>
      <c r="AE90" s="10" t="str">
        <f t="shared" si="23"/>
        <v>0.999981371268237-0.00895765298358396i</v>
      </c>
      <c r="AF90" s="10" t="str">
        <f t="shared" si="28"/>
        <v>0.804973081823666-4.85202541548738i</v>
      </c>
      <c r="AG90" s="10">
        <f t="shared" si="18"/>
        <v>4.9183465000949429</v>
      </c>
      <c r="AH90" s="10">
        <f t="shared" si="19"/>
        <v>-1.406389262087093</v>
      </c>
      <c r="AI90" s="10">
        <f t="shared" si="20"/>
        <v>-80.580169070108639</v>
      </c>
      <c r="AJ90" s="10">
        <f t="shared" si="21"/>
        <v>13.836382435098626</v>
      </c>
      <c r="AL90" s="10" t="str">
        <f t="shared" si="24"/>
        <v>0.0330390073193007-0.0242096167584579i</v>
      </c>
      <c r="AM90" s="10" t="str">
        <f t="shared" si="25"/>
        <v>0.999298692348279-0.0264045093924624i</v>
      </c>
      <c r="AN90" s="10" t="str">
        <f t="shared" si="29"/>
        <v>-2.34139404145918+1.81263916269165i</v>
      </c>
      <c r="AO90" s="10">
        <f t="shared" si="30"/>
        <v>2.9610448817105151</v>
      </c>
      <c r="AP90" s="10">
        <f t="shared" si="31"/>
        <v>2.4828007702876569</v>
      </c>
      <c r="AQ90" s="10">
        <f t="shared" si="32"/>
        <v>142.25400550931255</v>
      </c>
      <c r="AR90" s="10">
        <f t="shared" si="33"/>
        <v>9.4288998041959218</v>
      </c>
      <c r="AS90" s="10">
        <f t="shared" si="34"/>
        <v>23.26528223929455</v>
      </c>
      <c r="AT90" s="10">
        <f t="shared" si="35"/>
        <v>61.67383643920391</v>
      </c>
    </row>
    <row r="91" spans="25:46" x14ac:dyDescent="0.25">
      <c r="Y91" s="10">
        <v>89</v>
      </c>
      <c r="Z91" s="10">
        <f t="shared" si="26"/>
        <v>467.73514128719791</v>
      </c>
      <c r="AA91" s="10" t="str">
        <f t="shared" si="27"/>
        <v>2938.86656738729i</v>
      </c>
      <c r="AC91" s="10">
        <f>1/(2*$T$3+$T$6*$T$2/('4. Boost Inductor'!$B$11*$T$3^2)*($T$5-0.5))</f>
        <v>0.16903313049357674</v>
      </c>
      <c r="AD91" s="10" t="str">
        <f t="shared" si="22"/>
        <v>0.0224274262214547-0.134102038731925i</v>
      </c>
      <c r="AE91" s="10" t="str">
        <f t="shared" si="23"/>
        <v>0.999978611366935-0.009598292159477i</v>
      </c>
      <c r="AF91" s="10" t="str">
        <f t="shared" si="28"/>
        <v>0.714665178584657-4.54071789931994i</v>
      </c>
      <c r="AG91" s="10">
        <f t="shared" si="18"/>
        <v>4.5966145540697596</v>
      </c>
      <c r="AH91" s="10">
        <f t="shared" si="19"/>
        <v>-1.4146866061686967</v>
      </c>
      <c r="AI91" s="10">
        <f t="shared" si="20"/>
        <v>-81.055571867152381</v>
      </c>
      <c r="AJ91" s="10">
        <f t="shared" si="21"/>
        <v>13.248761756281542</v>
      </c>
      <c r="AL91" s="10" t="str">
        <f t="shared" si="24"/>
        <v>0.0329608369605726-0.0225955554663154i</v>
      </c>
      <c r="AM91" s="10" t="str">
        <f t="shared" si="25"/>
        <v>0.999194875167149-0.0282899869524528i</v>
      </c>
      <c r="AN91" s="10" t="str">
        <f t="shared" si="29"/>
        <v>-2.3354985492738+1.70017155853384i</v>
      </c>
      <c r="AO91" s="10">
        <f t="shared" si="30"/>
        <v>2.8887950432849006</v>
      </c>
      <c r="AP91" s="10">
        <f t="shared" si="31"/>
        <v>2.5123408338900246</v>
      </c>
      <c r="AQ91" s="10">
        <f t="shared" si="32"/>
        <v>143.94652648027622</v>
      </c>
      <c r="AR91" s="10">
        <f t="shared" si="33"/>
        <v>9.2143346047762424</v>
      </c>
      <c r="AS91" s="10">
        <f t="shared" si="34"/>
        <v>22.463096361057787</v>
      </c>
      <c r="AT91" s="10">
        <f t="shared" si="35"/>
        <v>62.890954613123839</v>
      </c>
    </row>
    <row r="92" spans="25:46" x14ac:dyDescent="0.25">
      <c r="Y92" s="10">
        <v>90</v>
      </c>
      <c r="Z92" s="10">
        <f t="shared" si="26"/>
        <v>501.18723362727184</v>
      </c>
      <c r="AA92" s="10" t="str">
        <f t="shared" si="27"/>
        <v>3149.05226247286i</v>
      </c>
      <c r="AC92" s="10">
        <f>1/(2*$T$3+$T$6*$T$2/('4. Boost Inductor'!$B$11*$T$3^2)*($T$5-0.5))</f>
        <v>0.16903313049357674</v>
      </c>
      <c r="AD92" s="10" t="str">
        <f t="shared" si="22"/>
        <v>0.0200919591916452-0.12545029676678i</v>
      </c>
      <c r="AE92" s="10" t="str">
        <f t="shared" si="23"/>
        <v>0.999975442580326-0.0102847480358782i</v>
      </c>
      <c r="AF92" s="10" t="str">
        <f t="shared" si="28"/>
        <v>0.635606527778863-4.24793295365204i</v>
      </c>
      <c r="AG92" s="10">
        <f t="shared" si="18"/>
        <v>4.2952217680671678</v>
      </c>
      <c r="AH92" s="10">
        <f t="shared" si="19"/>
        <v>-1.4222709463813177</v>
      </c>
      <c r="AI92" s="10">
        <f t="shared" si="20"/>
        <v>-81.490122551726913</v>
      </c>
      <c r="AJ92" s="10">
        <f t="shared" si="21"/>
        <v>12.659711839067757</v>
      </c>
      <c r="AL92" s="10" t="str">
        <f t="shared" si="24"/>
        <v>0.0328927431258729-0.0210888841820877i</v>
      </c>
      <c r="AM92" s="10" t="str">
        <f t="shared" si="25"/>
        <v>0.999075703831134-0.0303096330192084i</v>
      </c>
      <c r="AN92" s="10" t="str">
        <f t="shared" si="29"/>
        <v>-2.3302969507121+1.59578371189761i</v>
      </c>
      <c r="AO92" s="10">
        <f t="shared" si="30"/>
        <v>2.8243246154887767</v>
      </c>
      <c r="AP92" s="10">
        <f t="shared" si="31"/>
        <v>2.5411421043990425</v>
      </c>
      <c r="AQ92" s="10">
        <f t="shared" si="32"/>
        <v>145.59671772505754</v>
      </c>
      <c r="AR92" s="10">
        <f t="shared" si="33"/>
        <v>9.0182922230448117</v>
      </c>
      <c r="AS92" s="10">
        <f t="shared" si="34"/>
        <v>21.678004062112571</v>
      </c>
      <c r="AT92" s="10">
        <f t="shared" si="35"/>
        <v>64.106595173330632</v>
      </c>
    </row>
    <row r="93" spans="25:46" x14ac:dyDescent="0.25">
      <c r="Y93" s="10">
        <v>91</v>
      </c>
      <c r="Z93" s="10">
        <f t="shared" si="26"/>
        <v>537.03179637025255</v>
      </c>
      <c r="AA93" s="10" t="str">
        <f t="shared" si="27"/>
        <v>3374.27029244183i</v>
      </c>
      <c r="AC93" s="10">
        <f>1/(2*$T$3+$T$6*$T$2/('4. Boost Inductor'!$B$11*$T$3^2)*($T$5-0.5))</f>
        <v>0.16903313049357674</v>
      </c>
      <c r="AD93" s="10" t="str">
        <f t="shared" si="22"/>
        <v>0.0180487413933837-0.117321147686066i</v>
      </c>
      <c r="AE93" s="10" t="str">
        <f t="shared" si="23"/>
        <v>0.999971804331863-0.0110202970763125i</v>
      </c>
      <c r="AF93" s="10" t="str">
        <f t="shared" si="28"/>
        <v>0.566440790947488-3.97284456490632i</v>
      </c>
      <c r="AG93" s="10">
        <f t="shared" si="18"/>
        <v>4.0130224403253596</v>
      </c>
      <c r="AH93" s="10">
        <f t="shared" si="19"/>
        <v>-1.4291727050786793</v>
      </c>
      <c r="AI93" s="10">
        <f t="shared" si="20"/>
        <v>-81.885564196303434</v>
      </c>
      <c r="AJ93" s="10">
        <f t="shared" si="21"/>
        <v>12.069431765233601</v>
      </c>
      <c r="AL93" s="10" t="str">
        <f t="shared" si="24"/>
        <v>0.0328334280613275-0.0196824989639359i</v>
      </c>
      <c r="AM93" s="10" t="str">
        <f t="shared" si="25"/>
        <v>0.998938912062889-0.0324728870905914i</v>
      </c>
      <c r="AN93" s="10" t="str">
        <f t="shared" si="29"/>
        <v>-2.32569012338917+1.49898324393061i</v>
      </c>
      <c r="AO93" s="10">
        <f t="shared" si="30"/>
        <v>2.7669089821702966</v>
      </c>
      <c r="AP93" s="10">
        <f t="shared" si="31"/>
        <v>2.5690705120029773</v>
      </c>
      <c r="AQ93" s="10">
        <f t="shared" si="32"/>
        <v>147.19689760928409</v>
      </c>
      <c r="AR93" s="10">
        <f t="shared" si="33"/>
        <v>8.8398974640526049</v>
      </c>
      <c r="AS93" s="10">
        <f t="shared" si="34"/>
        <v>20.909329229286207</v>
      </c>
      <c r="AT93" s="10">
        <f t="shared" si="35"/>
        <v>65.311333412980659</v>
      </c>
    </row>
    <row r="94" spans="25:46" x14ac:dyDescent="0.25">
      <c r="Y94" s="10">
        <v>92</v>
      </c>
      <c r="Z94" s="10">
        <f t="shared" si="26"/>
        <v>575.43993733715661</v>
      </c>
      <c r="AA94" s="10" t="str">
        <f t="shared" si="27"/>
        <v>3615.59575944116i</v>
      </c>
      <c r="AC94" s="10">
        <f>1/(2*$T$3+$T$6*$T$2/('4. Boost Inductor'!$B$11*$T$3^2)*($T$5-0.5))</f>
        <v>0.16903313049357674</v>
      </c>
      <c r="AD94" s="10" t="str">
        <f t="shared" si="22"/>
        <v>0.0162622180586977-0.109689668281001i</v>
      </c>
      <c r="AE94" s="10" t="str">
        <f t="shared" si="23"/>
        <v>0.999967627070779-0.0118084500021521i</v>
      </c>
      <c r="AF94" s="10" t="str">
        <f t="shared" si="28"/>
        <v>0.505964389432544-3.71460949607856i</v>
      </c>
      <c r="AG94" s="10">
        <f t="shared" si="18"/>
        <v>3.7489096643865478</v>
      </c>
      <c r="AH94" s="10">
        <f t="shared" si="19"/>
        <v>-1.4354201268215001</v>
      </c>
      <c r="AI94" s="10">
        <f t="shared" si="20"/>
        <v>-82.243515095005336</v>
      </c>
      <c r="AJ94" s="10">
        <f t="shared" si="21"/>
        <v>11.478099511385837</v>
      </c>
      <c r="AL94" s="10" t="str">
        <f t="shared" si="24"/>
        <v>0.0327817608712849-0.0183697580904574i</v>
      </c>
      <c r="AM94" s="10" t="str">
        <f t="shared" si="25"/>
        <v>0.99878190052534-0.0347898279548349i</v>
      </c>
      <c r="AN94" s="10" t="str">
        <f t="shared" si="29"/>
        <v>-2.32159025400422+1.40931269419767i</v>
      </c>
      <c r="AO94" s="10">
        <f t="shared" si="30"/>
        <v>2.7158688439455383</v>
      </c>
      <c r="AP94" s="10">
        <f t="shared" si="31"/>
        <v>2.596008177748474</v>
      </c>
      <c r="AQ94" s="10">
        <f t="shared" si="32"/>
        <v>148.74031216643519</v>
      </c>
      <c r="AR94" s="10">
        <f t="shared" si="33"/>
        <v>8.6781758591053837</v>
      </c>
      <c r="AS94" s="10">
        <f t="shared" si="34"/>
        <v>20.156275370491223</v>
      </c>
      <c r="AT94" s="10">
        <f t="shared" si="35"/>
        <v>66.496797071429853</v>
      </c>
    </row>
    <row r="95" spans="25:46" x14ac:dyDescent="0.25">
      <c r="Y95" s="10">
        <v>93</v>
      </c>
      <c r="Z95" s="10">
        <f t="shared" si="26"/>
        <v>616.59500186148216</v>
      </c>
      <c r="AA95" s="10" t="str">
        <f t="shared" si="27"/>
        <v>3874.18065617643i</v>
      </c>
      <c r="AC95" s="10">
        <f>1/(2*$T$3+$T$6*$T$2/('4. Boost Inductor'!$B$11*$T$3^2)*($T$5-0.5))</f>
        <v>0.16903313049357674</v>
      </c>
      <c r="AD95" s="10" t="str">
        <f t="shared" si="22"/>
        <v>0.0147009163288486-0.102530824688241i</v>
      </c>
      <c r="AE95" s="10" t="str">
        <f t="shared" si="23"/>
        <v>0.999962830942649-0.0126529685298701i</v>
      </c>
      <c r="AF95" s="10" t="str">
        <f t="shared" si="28"/>
        <v>0.453111920605968-3.4723807960043i</v>
      </c>
      <c r="AG95" s="10">
        <f t="shared" si="18"/>
        <v>3.501819356428125</v>
      </c>
      <c r="AH95" s="10">
        <f t="shared" si="19"/>
        <v>-1.4410392271846941</v>
      </c>
      <c r="AI95" s="10">
        <f t="shared" si="20"/>
        <v>-82.565465830476782</v>
      </c>
      <c r="AJ95" s="10">
        <f t="shared" si="21"/>
        <v>10.885874779380682</v>
      </c>
      <c r="AL95" s="10" t="str">
        <f t="shared" si="24"/>
        <v>0.0327367561320195-0.0171444534381437i</v>
      </c>
      <c r="AM95" s="10" t="str">
        <f t="shared" si="25"/>
        <v>0.998601688332815-0.0372712112217534i</v>
      </c>
      <c r="AN95" s="10" t="str">
        <f t="shared" si="29"/>
        <v>-2.3179191792422+1.32634753568077i</v>
      </c>
      <c r="AO95" s="10">
        <f t="shared" si="30"/>
        <v>2.6705705583087083</v>
      </c>
      <c r="AP95" s="10">
        <f t="shared" si="31"/>
        <v>2.6218540849593288</v>
      </c>
      <c r="AQ95" s="10">
        <f t="shared" si="32"/>
        <v>150.22117356730391</v>
      </c>
      <c r="AR95" s="10">
        <f t="shared" si="33"/>
        <v>8.5320811363058198</v>
      </c>
      <c r="AS95" s="10">
        <f t="shared" si="34"/>
        <v>19.417955915686502</v>
      </c>
      <c r="AT95" s="10">
        <f t="shared" si="35"/>
        <v>67.655707736827125</v>
      </c>
    </row>
    <row r="96" spans="25:46" x14ac:dyDescent="0.25">
      <c r="Y96" s="10">
        <v>94</v>
      </c>
      <c r="Z96" s="10">
        <f t="shared" si="26"/>
        <v>660.69344800759518</v>
      </c>
      <c r="AA96" s="10" t="str">
        <f t="shared" si="27"/>
        <v>4151.25936507114i</v>
      </c>
      <c r="AC96" s="10">
        <f>1/(2*$T$3+$T$6*$T$2/('4. Boost Inductor'!$B$11*$T$3^2)*($T$5-0.5))</f>
        <v>0.16903313049357674</v>
      </c>
      <c r="AD96" s="10" t="str">
        <f t="shared" si="22"/>
        <v>0.0133370358415942-0.0958197863755157i</v>
      </c>
      <c r="AE96" s="10" t="str">
        <f t="shared" si="23"/>
        <v>0.999957324263044-0.0135578833014846i</v>
      </c>
      <c r="AF96" s="10" t="str">
        <f t="shared" si="28"/>
        <v>0.406942298583787-3.24531843039369i</v>
      </c>
      <c r="AG96" s="10">
        <f t="shared" si="18"/>
        <v>3.2707329070148208</v>
      </c>
      <c r="AH96" s="10">
        <f t="shared" si="19"/>
        <v>-1.4460537647272997</v>
      </c>
      <c r="AI96" s="10">
        <f t="shared" si="20"/>
        <v>-82.852777667877987</v>
      </c>
      <c r="AJ96" s="10">
        <f t="shared" si="21"/>
        <v>10.292901608603362</v>
      </c>
      <c r="AL96" s="10" t="str">
        <f t="shared" si="24"/>
        <v>0.0326975552302258-0.0160007833537558i</v>
      </c>
      <c r="AM96" s="10" t="str">
        <f t="shared" si="25"/>
        <v>0.998394857648804-0.0399285076755448i</v>
      </c>
      <c r="AN96" s="10" t="str">
        <f t="shared" si="29"/>
        <v>-2.31460690796271+1.24969429984795i</v>
      </c>
      <c r="AO96" s="10">
        <f t="shared" si="30"/>
        <v>2.630426007600509</v>
      </c>
      <c r="AP96" s="10">
        <f t="shared" si="31"/>
        <v>2.6465240946591089</v>
      </c>
      <c r="AQ96" s="10">
        <f t="shared" si="32"/>
        <v>151.63466100364812</v>
      </c>
      <c r="AR96" s="10">
        <f t="shared" si="33"/>
        <v>8.4005217969250285</v>
      </c>
      <c r="AS96" s="10">
        <f t="shared" si="34"/>
        <v>18.693423405528392</v>
      </c>
      <c r="AT96" s="10">
        <f t="shared" si="35"/>
        <v>68.781883335770132</v>
      </c>
    </row>
    <row r="97" spans="25:46" x14ac:dyDescent="0.25">
      <c r="Y97" s="10">
        <v>95</v>
      </c>
      <c r="Z97" s="10">
        <f t="shared" si="26"/>
        <v>707.94578438413748</v>
      </c>
      <c r="AA97" s="10" t="str">
        <f t="shared" si="27"/>
        <v>4448.15455072214i</v>
      </c>
      <c r="AC97" s="10">
        <f>1/(2*$T$3+$T$6*$T$2/('4. Boost Inductor'!$B$11*$T$3^2)*($T$5-0.5))</f>
        <v>0.16903313049357674</v>
      </c>
      <c r="AD97" s="10" t="str">
        <f t="shared" si="22"/>
        <v>0.0121460654324569-0.0895321689614802i</v>
      </c>
      <c r="AE97" s="10" t="str">
        <f t="shared" si="23"/>
        <v>0.999951001765096-0.0145275130926438i</v>
      </c>
      <c r="AF97" s="10" t="str">
        <f t="shared" si="28"/>
        <v>0.366625778900912-3.03259750398337i</v>
      </c>
      <c r="AG97" s="10">
        <f t="shared" si="18"/>
        <v>3.0546787200818462</v>
      </c>
      <c r="AH97" s="10">
        <f t="shared" si="19"/>
        <v>-1.4504852307677301</v>
      </c>
      <c r="AI97" s="10">
        <f t="shared" si="20"/>
        <v>-83.106681969050186</v>
      </c>
      <c r="AJ97" s="10">
        <f t="shared" si="21"/>
        <v>9.6993107895552537</v>
      </c>
      <c r="AL97" s="10" t="str">
        <f t="shared" si="24"/>
        <v>0.0326634100830936-0.0149333269991364i</v>
      </c>
      <c r="AM97" s="10" t="str">
        <f t="shared" si="25"/>
        <v>0.99815749043132-0.0427739420886222i</v>
      </c>
      <c r="AN97" s="10" t="str">
        <f t="shared" si="29"/>
        <v>-2.31159029768105+1.17898880933551i</v>
      </c>
      <c r="AO97" s="10">
        <f t="shared" si="30"/>
        <v>2.5948919663198939</v>
      </c>
      <c r="AP97" s="10">
        <f t="shared" si="31"/>
        <v>2.6699503913004512</v>
      </c>
      <c r="AQ97" s="10">
        <f t="shared" si="32"/>
        <v>152.97688893081855</v>
      </c>
      <c r="AR97" s="10">
        <f t="shared" si="33"/>
        <v>8.282385629756595</v>
      </c>
      <c r="AS97" s="10">
        <f t="shared" si="34"/>
        <v>17.981696419311849</v>
      </c>
      <c r="AT97" s="10">
        <f t="shared" si="35"/>
        <v>69.870206961768361</v>
      </c>
    </row>
    <row r="98" spans="25:46" x14ac:dyDescent="0.25">
      <c r="Y98" s="10">
        <v>96</v>
      </c>
      <c r="Z98" s="10">
        <f t="shared" si="26"/>
        <v>758.57757502918309</v>
      </c>
      <c r="AA98" s="10" t="str">
        <f t="shared" si="27"/>
        <v>4766.28347377928i</v>
      </c>
      <c r="AC98" s="10">
        <f>1/(2*$T$3+$T$6*$T$2/('4. Boost Inductor'!$B$11*$T$3^2)*($T$5-0.5))</f>
        <v>0.16903313049357674</v>
      </c>
      <c r="AD98" s="10" t="str">
        <f t="shared" si="22"/>
        <v>0.0111064285022967-0.0836442180189935i</v>
      </c>
      <c r="AE98" s="10" t="str">
        <f t="shared" si="23"/>
        <v>0.999943742587512-0.0155664853886385i</v>
      </c>
      <c r="AF98" s="10" t="str">
        <f t="shared" si="28"/>
        <v>0.331431953540582-2.83341448508178i</v>
      </c>
      <c r="AG98" s="10">
        <f t="shared" si="18"/>
        <v>2.8527328623793315</v>
      </c>
      <c r="AH98" s="10">
        <f t="shared" si="19"/>
        <v>-1.4543528525471601</v>
      </c>
      <c r="AI98" s="10">
        <f t="shared" si="20"/>
        <v>-83.328280373764414</v>
      </c>
      <c r="AJ98" s="10">
        <f t="shared" si="21"/>
        <v>9.1052221010248768</v>
      </c>
      <c r="AL98" s="10" t="str">
        <f t="shared" si="24"/>
        <v>0.0326336689390191-0.0139370201331457i</v>
      </c>
      <c r="AM98" s="10" t="str">
        <f t="shared" si="25"/>
        <v>0.997885096274317-0.0458205320174851i</v>
      </c>
      <c r="AN98" s="10" t="str">
        <f t="shared" si="29"/>
        <v>-2.30881186114586+1.11389451458691i</v>
      </c>
      <c r="AO98" s="10">
        <f t="shared" si="30"/>
        <v>2.563468977732053</v>
      </c>
      <c r="AP98" s="10">
        <f t="shared" si="31"/>
        <v>2.692080467727505</v>
      </c>
      <c r="AQ98" s="10">
        <f t="shared" si="32"/>
        <v>154.24484891039066</v>
      </c>
      <c r="AR98" s="10">
        <f t="shared" si="33"/>
        <v>8.1765613223525708</v>
      </c>
      <c r="AS98" s="10">
        <f t="shared" si="34"/>
        <v>17.281783423377448</v>
      </c>
      <c r="AT98" s="10">
        <f t="shared" si="35"/>
        <v>70.916568536626244</v>
      </c>
    </row>
    <row r="99" spans="25:46" x14ac:dyDescent="0.25">
      <c r="Y99" s="10">
        <v>97</v>
      </c>
      <c r="Z99" s="10">
        <f t="shared" si="26"/>
        <v>812.8305161640983</v>
      </c>
      <c r="AA99" s="10" t="str">
        <f t="shared" si="27"/>
        <v>5107.16475638946i</v>
      </c>
      <c r="AC99" s="10">
        <f>1/(2*$T$3+$T$6*$T$2/('4. Boost Inductor'!$B$11*$T$3^2)*($T$5-0.5))</f>
        <v>0.16903313049357674</v>
      </c>
      <c r="AD99" s="10" t="str">
        <f t="shared" si="22"/>
        <v>0.010199158016577-0.0781329443623332i</v>
      </c>
      <c r="AE99" s="10" t="str">
        <f t="shared" si="23"/>
        <v>0.999935407964603-0.0166797584248353i</v>
      </c>
      <c r="AF99" s="10" t="str">
        <f t="shared" si="28"/>
        <v>0.300718748993122-2.64699178797426i</v>
      </c>
      <c r="AG99" s="10">
        <f t="shared" si="18"/>
        <v>2.6640190111181936</v>
      </c>
      <c r="AH99" s="10">
        <f t="shared" si="19"/>
        <v>-1.4576736061974083</v>
      </c>
      <c r="AI99" s="10">
        <f t="shared" si="20"/>
        <v>-83.518545542726301</v>
      </c>
      <c r="AJ99" s="10">
        <f t="shared" si="21"/>
        <v>8.5107463949072066</v>
      </c>
      <c r="AL99" s="10" t="str">
        <f t="shared" si="24"/>
        <v>0.0326077639953089-0.0130071322860792i</v>
      </c>
      <c r="AM99" s="10" t="str">
        <f t="shared" si="25"/>
        <v>0.997572530172841-0.0490821259550006i</v>
      </c>
      <c r="AN99" s="10" t="str">
        <f t="shared" si="29"/>
        <v>-2.30621868123984+1.0541009297796i</v>
      </c>
      <c r="AO99" s="10">
        <f t="shared" si="30"/>
        <v>2.5356997803095394</v>
      </c>
      <c r="AP99" s="10">
        <f t="shared" si="31"/>
        <v>2.7128757673375721</v>
      </c>
      <c r="AQ99" s="10">
        <f t="shared" si="32"/>
        <v>155.43633181175755</v>
      </c>
      <c r="AR99" s="10">
        <f t="shared" si="33"/>
        <v>8.0819566602731179</v>
      </c>
      <c r="AS99" s="10">
        <f t="shared" si="34"/>
        <v>16.592703055180323</v>
      </c>
      <c r="AT99" s="10">
        <f t="shared" si="35"/>
        <v>71.917786269031254</v>
      </c>
    </row>
    <row r="100" spans="25:46" x14ac:dyDescent="0.25">
      <c r="Y100" s="10">
        <v>98</v>
      </c>
      <c r="Z100" s="10">
        <f t="shared" si="26"/>
        <v>870.96358995608011</v>
      </c>
      <c r="AA100" s="10" t="str">
        <f t="shared" si="27"/>
        <v>5472.42563150043i</v>
      </c>
      <c r="AC100" s="10">
        <f>1/(2*$T$3+$T$6*$T$2/('4. Boost Inductor'!$B$11*$T$3^2)*($T$5-0.5))</f>
        <v>0.16903313049357674</v>
      </c>
      <c r="AD100" s="10" t="str">
        <f t="shared" si="22"/>
        <v>0.00940760096764257-0.0729762197907462i</v>
      </c>
      <c r="AE100" s="10" t="str">
        <f t="shared" si="23"/>
        <v>0.999925838574199-0.0178726447946162i</v>
      </c>
      <c r="AF100" s="10" t="str">
        <f t="shared" si="28"/>
        <v>0.273922421628384-2.47258101692702i</v>
      </c>
      <c r="AG100" s="10">
        <f t="shared" si="18"/>
        <v>2.4877078563084161</v>
      </c>
      <c r="AH100" s="10">
        <f t="shared" si="19"/>
        <v>-1.4604622366655235</v>
      </c>
      <c r="AI100" s="10">
        <f t="shared" si="20"/>
        <v>-83.678322299170887</v>
      </c>
      <c r="AJ100" s="10">
        <f t="shared" si="21"/>
        <v>7.9159875537940803</v>
      </c>
      <c r="AL100" s="10" t="str">
        <f t="shared" si="24"/>
        <v>0.0325852006020916-0.0121392452753777i</v>
      </c>
      <c r="AM100" s="10" t="str">
        <f t="shared" si="25"/>
        <v>0.997213898911511-0.0525734400326927i</v>
      </c>
      <c r="AN100" s="10" t="str">
        <f t="shared" si="29"/>
        <v>-2.30376141451302+0.999322162481517i</v>
      </c>
      <c r="AO100" s="10">
        <f t="shared" si="30"/>
        <v>2.5111673459619865</v>
      </c>
      <c r="AP100" s="10">
        <f t="shared" si="31"/>
        <v>2.7323100990117459</v>
      </c>
      <c r="AQ100" s="10">
        <f t="shared" si="32"/>
        <v>156.54983699434513</v>
      </c>
      <c r="AR100" s="10">
        <f t="shared" si="33"/>
        <v>7.9975131073541732</v>
      </c>
      <c r="AS100" s="10">
        <f t="shared" si="34"/>
        <v>15.913500661148253</v>
      </c>
      <c r="AT100" s="10">
        <f t="shared" si="35"/>
        <v>72.871514695174241</v>
      </c>
    </row>
    <row r="101" spans="25:46" x14ac:dyDescent="0.25">
      <c r="Y101" s="10">
        <v>99</v>
      </c>
      <c r="Z101" s="10">
        <f t="shared" si="26"/>
        <v>933.25430079699026</v>
      </c>
      <c r="AA101" s="10" t="str">
        <f t="shared" si="27"/>
        <v>5863.80971062981i</v>
      </c>
      <c r="AC101" s="10">
        <f>1/(2*$T$3+$T$6*$T$2/('4. Boost Inductor'!$B$11*$T$3^2)*($T$5-0.5))</f>
        <v>0.16903313049357674</v>
      </c>
      <c r="AD101" s="10" t="str">
        <f t="shared" si="22"/>
        <v>0.00871715134943742-0.0681528408809352i</v>
      </c>
      <c r="AE101" s="10" t="str">
        <f t="shared" si="23"/>
        <v>0.999914851492821-0.0191508367349017i</v>
      </c>
      <c r="AF101" s="10" t="str">
        <f t="shared" si="28"/>
        <v>0.25054851819752-2.3094651288222i</v>
      </c>
      <c r="AG101" s="10">
        <f t="shared" si="18"/>
        <v>2.3230160871627028</v>
      </c>
      <c r="AH101" s="10">
        <f t="shared" si="19"/>
        <v>-1.462731282397695</v>
      </c>
      <c r="AI101" s="10">
        <f t="shared" si="20"/>
        <v>-83.808329043146486</v>
      </c>
      <c r="AJ101" s="10">
        <f t="shared" si="21"/>
        <v>7.321044347031826</v>
      </c>
      <c r="AL101" s="10" t="str">
        <f t="shared" si="24"/>
        <v>0.032565547850542-0.0113292330070888i</v>
      </c>
      <c r="AM101" s="10" t="str">
        <f t="shared" si="25"/>
        <v>0.996802454643066-0.0563100922447428i</v>
      </c>
      <c r="AN101" s="10" t="str">
        <f t="shared" si="29"/>
        <v>-2.30139336544356+0.949295530654152i</v>
      </c>
      <c r="AO101" s="10">
        <f t="shared" si="30"/>
        <v>2.4894926043327748</v>
      </c>
      <c r="AP101" s="10">
        <f t="shared" si="31"/>
        <v>2.7503679295805563</v>
      </c>
      <c r="AQ101" s="10">
        <f t="shared" si="32"/>
        <v>157.58447447310027</v>
      </c>
      <c r="AR101" s="10">
        <f t="shared" si="33"/>
        <v>7.9222168086365805</v>
      </c>
      <c r="AS101" s="10">
        <f t="shared" si="34"/>
        <v>15.243261155668407</v>
      </c>
      <c r="AT101" s="10">
        <f t="shared" si="35"/>
        <v>73.776145429953786</v>
      </c>
    </row>
    <row r="102" spans="25:46" x14ac:dyDescent="0.25">
      <c r="Y102" s="10">
        <v>100</v>
      </c>
      <c r="Z102" s="10">
        <f t="shared" si="26"/>
        <v>999.99999999999977</v>
      </c>
      <c r="AA102" s="10" t="str">
        <f t="shared" si="27"/>
        <v>6283.18530717958i</v>
      </c>
      <c r="AC102" s="10">
        <f>1/(2*$T$3+$T$6*$T$2/('4. Boost Inductor'!$B$11*$T$3^2)*($T$5-0.5))</f>
        <v>0.16903313049357674</v>
      </c>
      <c r="AD102" s="10" t="str">
        <f t="shared" si="22"/>
        <v>0.00811501018138942-0.0636425671995611i</v>
      </c>
      <c r="AE102" s="10" t="str">
        <f t="shared" si="23"/>
        <v>0.99990223669997-0.020520433206745i</v>
      </c>
      <c r="AF102" s="10" t="str">
        <f t="shared" si="28"/>
        <v>0.230163751923257-2.15695973010712i</v>
      </c>
      <c r="AG102" s="10">
        <f t="shared" si="18"/>
        <v>2.169205068683727</v>
      </c>
      <c r="AH102" s="10">
        <f t="shared" si="19"/>
        <v>-1.4644911031642174</v>
      </c>
      <c r="AI102" s="10">
        <f t="shared" si="20"/>
        <v>-83.909159345767691</v>
      </c>
      <c r="AJ102" s="10">
        <f t="shared" si="21"/>
        <v>6.72601221121894</v>
      </c>
      <c r="AL102" s="10" t="str">
        <f t="shared" si="24"/>
        <v>0.0325484303689106-0.010573242504922i</v>
      </c>
      <c r="AM102" s="10" t="str">
        <f t="shared" si="25"/>
        <v>0.996330474089259-0.0603086328942163i</v>
      </c>
      <c r="AN102" s="10" t="str">
        <f t="shared" si="29"/>
        <v>-2.29906961504902+0.903780259806127i</v>
      </c>
      <c r="AO102" s="10">
        <f t="shared" si="30"/>
        <v>2.4703319317162378</v>
      </c>
      <c r="AP102" s="10">
        <f t="shared" si="31"/>
        <v>2.7670426425927448</v>
      </c>
      <c r="AQ102" s="10">
        <f t="shared" si="32"/>
        <v>158.53986515329055</v>
      </c>
      <c r="AR102" s="10">
        <f t="shared" si="33"/>
        <v>7.8551062427428402</v>
      </c>
      <c r="AS102" s="10">
        <f t="shared" si="34"/>
        <v>14.58111845396178</v>
      </c>
      <c r="AT102" s="10">
        <f t="shared" si="35"/>
        <v>74.630705807522858</v>
      </c>
    </row>
    <row r="103" spans="25:46" x14ac:dyDescent="0.25">
      <c r="Y103" s="10">
        <v>101</v>
      </c>
      <c r="Z103" s="10">
        <f t="shared" si="26"/>
        <v>1071.5193052376057</v>
      </c>
      <c r="AA103" s="10" t="str">
        <f t="shared" si="27"/>
        <v>6732.5543550282i</v>
      </c>
      <c r="AC103" s="10">
        <f>1/(2*$T$3+$T$6*$T$2/('4. Boost Inductor'!$B$11*$T$3^2)*($T$5-0.5))</f>
        <v>0.16903313049357674</v>
      </c>
      <c r="AD103" s="10" t="str">
        <f t="shared" si="22"/>
        <v>0.00758997080763414-0.0594261392420077i</v>
      </c>
      <c r="AE103" s="10" t="str">
        <f t="shared" si="23"/>
        <v>0.9998877530648-0.0219879688963064i</v>
      </c>
      <c r="AF103" s="10" t="str">
        <f t="shared" si="28"/>
        <v>0.212388734124134-2.01441368769605i</v>
      </c>
      <c r="AG103" s="10">
        <f t="shared" si="18"/>
        <v>2.0255792948092779</v>
      </c>
      <c r="AH103" s="10">
        <f t="shared" si="19"/>
        <v>-1.4657499099299918</v>
      </c>
      <c r="AI103" s="10">
        <f t="shared" si="20"/>
        <v>-83.981283660669078</v>
      </c>
      <c r="AJ103" s="10">
        <f t="shared" si="21"/>
        <v>6.130984981239342</v>
      </c>
      <c r="AL103" s="10" t="str">
        <f t="shared" si="24"/>
        <v>0.0325335211721087-0.00986767610746782i</v>
      </c>
      <c r="AM103" s="10" t="str">
        <f t="shared" si="25"/>
        <v>0.995789121665774-0.0645865696320583i</v>
      </c>
      <c r="AN103" s="10" t="str">
        <f t="shared" si="29"/>
        <v>-2.29674618878136+0.862556252250678i</v>
      </c>
      <c r="AO103" s="10">
        <f t="shared" si="30"/>
        <v>2.4533744809911182</v>
      </c>
      <c r="AP103" s="10">
        <f t="shared" si="31"/>
        <v>2.7823348338548759</v>
      </c>
      <c r="AQ103" s="10">
        <f t="shared" si="32"/>
        <v>159.4160431721175</v>
      </c>
      <c r="AR103" s="10">
        <f t="shared" si="33"/>
        <v>7.7952768721191736</v>
      </c>
      <c r="AS103" s="10">
        <f t="shared" si="34"/>
        <v>13.926261853358515</v>
      </c>
      <c r="AT103" s="10">
        <f t="shared" si="35"/>
        <v>75.434759511448419</v>
      </c>
    </row>
    <row r="104" spans="25:46" x14ac:dyDescent="0.25">
      <c r="Y104" s="10">
        <v>102</v>
      </c>
      <c r="Z104" s="10">
        <f t="shared" si="26"/>
        <v>1148.1536214968828</v>
      </c>
      <c r="AA104" s="10" t="str">
        <f t="shared" si="27"/>
        <v>7214.06196497425i</v>
      </c>
      <c r="AC104" s="10">
        <f>1/(2*$T$3+$T$6*$T$2/('4. Boost Inductor'!$B$11*$T$3^2)*($T$5-0.5))</f>
        <v>0.16903313049357674</v>
      </c>
      <c r="AD104" s="10" t="str">
        <f t="shared" si="22"/>
        <v>0.00713222753608929-0.0554852804868347i</v>
      </c>
      <c r="AE104" s="10" t="str">
        <f t="shared" si="23"/>
        <v>0.99987112373858-0.0235604452697785i</v>
      </c>
      <c r="AF104" s="10" t="str">
        <f t="shared" si="28"/>
        <v>0.196891495844505-1.88120920242858i</v>
      </c>
      <c r="AG104" s="10">
        <f t="shared" si="18"/>
        <v>1.891484687867671</v>
      </c>
      <c r="AH104" s="10">
        <f t="shared" si="19"/>
        <v>-1.4665137961567827</v>
      </c>
      <c r="AI104" s="10">
        <f t="shared" si="20"/>
        <v>-84.025051117492367</v>
      </c>
      <c r="AJ104" s="10">
        <f t="shared" si="21"/>
        <v>5.5360565979943068</v>
      </c>
      <c r="AL104" s="10" t="str">
        <f t="shared" si="24"/>
        <v>0.0325205354301263-0.00920917477392399i</v>
      </c>
      <c r="AM104" s="10" t="str">
        <f t="shared" si="25"/>
        <v>0.995168294713324-0.0691623850598257i</v>
      </c>
      <c r="AN104" s="10" t="str">
        <f t="shared" si="29"/>
        <v>-2.29437924977755+0.82542291948542i</v>
      </c>
      <c r="AO104" s="10">
        <f t="shared" si="30"/>
        <v>2.4383394221932324</v>
      </c>
      <c r="AP104" s="10">
        <f t="shared" si="31"/>
        <v>2.7962506958893414</v>
      </c>
      <c r="AQ104" s="10">
        <f t="shared" si="32"/>
        <v>160.21336333497871</v>
      </c>
      <c r="AR104" s="10">
        <f t="shared" si="33"/>
        <v>7.7418832046894215</v>
      </c>
      <c r="AS104" s="10">
        <f t="shared" si="34"/>
        <v>13.277939802683729</v>
      </c>
      <c r="AT104" s="10">
        <f t="shared" si="35"/>
        <v>76.188312217486342</v>
      </c>
    </row>
    <row r="105" spans="25:46" x14ac:dyDescent="0.25">
      <c r="Y105" s="10">
        <v>103</v>
      </c>
      <c r="Z105" s="10">
        <f t="shared" si="26"/>
        <v>1230.2687708123801</v>
      </c>
      <c r="AA105" s="10" t="str">
        <f t="shared" si="27"/>
        <v>7730.00666465024i</v>
      </c>
      <c r="AC105" s="10">
        <f>1/(2*$T$3+$T$6*$T$2/('4. Boost Inductor'!$B$11*$T$3^2)*($T$5-0.5))</f>
        <v>0.16903313049357674</v>
      </c>
      <c r="AD105" s="10" t="str">
        <f t="shared" si="22"/>
        <v>0.0067332056274768-0.0518026871739419i</v>
      </c>
      <c r="AE105" s="10" t="str">
        <f t="shared" si="23"/>
        <v>0.999852030865037-0.0252453638245141i</v>
      </c>
      <c r="AF105" s="10" t="str">
        <f t="shared" si="28"/>
        <v>0.183381732118692-1.7567614672381i</v>
      </c>
      <c r="AG105" s="10">
        <f t="shared" si="18"/>
        <v>1.7663068002041471</v>
      </c>
      <c r="AH105" s="10">
        <f t="shared" si="19"/>
        <v>-1.4667867703796382</v>
      </c>
      <c r="AI105" s="10">
        <f t="shared" si="20"/>
        <v>-84.040691388377866</v>
      </c>
      <c r="AJ105" s="10">
        <f t="shared" si="21"/>
        <v>4.9413228190696881</v>
      </c>
      <c r="AL105" s="10" t="str">
        <f t="shared" si="24"/>
        <v>0.0325092250376387-0.00859460243923662i</v>
      </c>
      <c r="AM105" s="10" t="str">
        <f t="shared" si="25"/>
        <v>0.994456448919454-0.0740555443857272i</v>
      </c>
      <c r="AN105" s="10" t="str">
        <f t="shared" si="29"/>
        <v>-2.29192430454876+0.792198067646919i</v>
      </c>
      <c r="AO105" s="10">
        <f t="shared" si="30"/>
        <v>2.4249731536998156</v>
      </c>
      <c r="AP105" s="10">
        <f t="shared" si="31"/>
        <v>2.8088005266976781</v>
      </c>
      <c r="AQ105" s="10">
        <f t="shared" si="32"/>
        <v>160.93241567389967</v>
      </c>
      <c r="AR105" s="10">
        <f t="shared" si="33"/>
        <v>7.6941386998826182</v>
      </c>
      <c r="AS105" s="10">
        <f t="shared" si="34"/>
        <v>12.635461518952306</v>
      </c>
      <c r="AT105" s="10">
        <f t="shared" si="35"/>
        <v>76.891724285521803</v>
      </c>
    </row>
    <row r="106" spans="25:46" x14ac:dyDescent="0.25">
      <c r="Y106" s="10">
        <v>104</v>
      </c>
      <c r="Z106" s="10">
        <f t="shared" si="26"/>
        <v>1318.2567385564053</v>
      </c>
      <c r="AA106" s="10" t="str">
        <f t="shared" si="27"/>
        <v>8282.85137078809i</v>
      </c>
      <c r="AC106" s="10">
        <f>1/(2*$T$3+$T$6*$T$2/('4. Boost Inductor'!$B$11*$T$3^2)*($T$5-0.5))</f>
        <v>0.16903313049357674</v>
      </c>
      <c r="AD106" s="10" t="str">
        <f t="shared" si="22"/>
        <v>0.00638541066513545-0.0483620087541654i</v>
      </c>
      <c r="AE106" s="10" t="str">
        <f t="shared" si="23"/>
        <v>0.999830109507682-0.0270507616877139i</v>
      </c>
      <c r="AF106" s="10" t="str">
        <f t="shared" si="28"/>
        <v>0.171605702198304-1.64051800983331i</v>
      </c>
      <c r="AG106" s="10">
        <f t="shared" si="18"/>
        <v>1.6494689623070866</v>
      </c>
      <c r="AH106" s="10">
        <f t="shared" si="19"/>
        <v>-1.4665707903458143</v>
      </c>
      <c r="AI106" s="10">
        <f t="shared" si="20"/>
        <v>-84.028316643980659</v>
      </c>
      <c r="AJ106" s="10">
        <f t="shared" si="21"/>
        <v>4.3468829586993003</v>
      </c>
      <c r="AL106" s="10" t="str">
        <f t="shared" si="24"/>
        <v>0.0324993738821254-0.00802103136073092i</v>
      </c>
      <c r="AM106" s="10" t="str">
        <f t="shared" si="25"/>
        <v>0.993640401954016-0.0792864900469107i</v>
      </c>
      <c r="AN106" s="10" t="str">
        <f t="shared" si="29"/>
        <v>-2.28933540913309+0.762716824751438i</v>
      </c>
      <c r="AO106" s="10">
        <f t="shared" si="30"/>
        <v>2.4130465329681252</v>
      </c>
      <c r="AP106" s="10">
        <f t="shared" si="31"/>
        <v>2.8199973839363075</v>
      </c>
      <c r="AQ106" s="10">
        <f t="shared" si="32"/>
        <v>161.57394833748361</v>
      </c>
      <c r="AR106" s="10">
        <f t="shared" si="33"/>
        <v>7.6513139376902428</v>
      </c>
      <c r="AS106" s="10">
        <f t="shared" si="34"/>
        <v>11.998196896389544</v>
      </c>
      <c r="AT106" s="10">
        <f t="shared" si="35"/>
        <v>77.545631693502955</v>
      </c>
    </row>
    <row r="107" spans="25:46" x14ac:dyDescent="0.25">
      <c r="Y107" s="10">
        <v>105</v>
      </c>
      <c r="Z107" s="10">
        <f t="shared" si="26"/>
        <v>1412.5375446227531</v>
      </c>
      <c r="AA107" s="10" t="str">
        <f t="shared" si="27"/>
        <v>8875.23514621321i</v>
      </c>
      <c r="AC107" s="10">
        <f>1/(2*$T$3+$T$6*$T$2/('4. Boost Inductor'!$B$11*$T$3^2)*($T$5-0.5))</f>
        <v>0.16903313049357674</v>
      </c>
      <c r="AD107" s="10" t="str">
        <f t="shared" si="22"/>
        <v>0.0060822954079618-0.0451478214040404i</v>
      </c>
      <c r="AE107" s="10" t="str">
        <f t="shared" si="23"/>
        <v>0.999804940678306-0.0289852497235406i</v>
      </c>
      <c r="AF107" s="10" t="str">
        <f t="shared" si="28"/>
        <v>0.161341721490036-1.53195780094366i</v>
      </c>
      <c r="AG107" s="10">
        <f t="shared" si="18"/>
        <v>1.5404304122437673</v>
      </c>
      <c r="AH107" s="10">
        <f t="shared" si="19"/>
        <v>-1.4658657994556419</v>
      </c>
      <c r="AI107" s="10">
        <f t="shared" si="20"/>
        <v>-83.9879236413786</v>
      </c>
      <c r="AJ107" s="10">
        <f t="shared" si="21"/>
        <v>3.7528416835538607</v>
      </c>
      <c r="AL107" s="10" t="str">
        <f t="shared" si="24"/>
        <v>0.0324907937209001-0.00748572839990971i</v>
      </c>
      <c r="AM107" s="10" t="str">
        <f t="shared" si="25"/>
        <v>0.992705113335529-0.0848766195246737i</v>
      </c>
      <c r="AN107" s="10" t="str">
        <f t="shared" si="29"/>
        <v>-2.28656436466936+0.736830596971594i</v>
      </c>
      <c r="AO107" s="10">
        <f t="shared" si="30"/>
        <v>2.4023521645273633</v>
      </c>
      <c r="AP107" s="10">
        <f t="shared" si="31"/>
        <v>2.829855894197105</v>
      </c>
      <c r="AQ107" s="10">
        <f t="shared" si="32"/>
        <v>162.13879936771374</v>
      </c>
      <c r="AR107" s="10">
        <f t="shared" si="33"/>
        <v>7.612733432697647</v>
      </c>
      <c r="AS107" s="10">
        <f t="shared" si="34"/>
        <v>11.365575116251508</v>
      </c>
      <c r="AT107" s="10">
        <f t="shared" si="35"/>
        <v>78.150875726335144</v>
      </c>
    </row>
    <row r="108" spans="25:46" x14ac:dyDescent="0.25">
      <c r="Y108" s="10">
        <v>106</v>
      </c>
      <c r="Z108" s="10">
        <f t="shared" si="26"/>
        <v>1513.5612484362066</v>
      </c>
      <c r="AA108" s="10" t="str">
        <f t="shared" si="27"/>
        <v>9509.98579769076i</v>
      </c>
      <c r="AC108" s="10">
        <f>1/(2*$T$3+$T$6*$T$2/('4. Boost Inductor'!$B$11*$T$3^2)*($T$5-0.5))</f>
        <v>0.16903313049357674</v>
      </c>
      <c r="AD108" s="10" t="str">
        <f t="shared" si="22"/>
        <v>0.00581814233280345-0.0421455965376598i</v>
      </c>
      <c r="AE108" s="10" t="str">
        <f t="shared" si="23"/>
        <v>0.999776043333784-0.031058053319416i</v>
      </c>
      <c r="AF108" s="10" t="str">
        <f t="shared" si="28"/>
        <v>0.152396184469161-1.4305901935482i</v>
      </c>
      <c r="AG108" s="10">
        <f t="shared" si="18"/>
        <v>1.4386844334033211</v>
      </c>
      <c r="AH108" s="10">
        <f t="shared" si="19"/>
        <v>-1.4646697667162047</v>
      </c>
      <c r="AI108" s="10">
        <f t="shared" si="20"/>
        <v>-83.919396013249397</v>
      </c>
      <c r="AJ108" s="10">
        <f t="shared" si="21"/>
        <v>3.1593108910889951</v>
      </c>
      <c r="AL108" s="10" t="str">
        <f t="shared" si="24"/>
        <v>0.0324833205888806-0.00698614218501577i</v>
      </c>
      <c r="AM108" s="10" t="str">
        <f t="shared" si="25"/>
        <v>0.991633438621647-0.0908482417687028i</v>
      </c>
      <c r="AN108" s="10" t="str">
        <f t="shared" si="29"/>
        <v>-2.28355989235178+0.714406039474047i</v>
      </c>
      <c r="AO108" s="10">
        <f t="shared" si="30"/>
        <v>2.3927017723056641</v>
      </c>
      <c r="AP108" s="10">
        <f t="shared" si="31"/>
        <v>2.8383912185327769</v>
      </c>
      <c r="AQ108" s="10">
        <f t="shared" si="32"/>
        <v>162.62783742892304</v>
      </c>
      <c r="AR108" s="10">
        <f t="shared" si="33"/>
        <v>7.5777714255633244</v>
      </c>
      <c r="AS108" s="10">
        <f t="shared" si="34"/>
        <v>10.737082316652319</v>
      </c>
      <c r="AT108" s="10">
        <f t="shared" si="35"/>
        <v>78.708441415673647</v>
      </c>
    </row>
    <row r="109" spans="25:46" x14ac:dyDescent="0.25">
      <c r="Y109" s="10">
        <v>107</v>
      </c>
      <c r="Z109" s="10">
        <f t="shared" si="26"/>
        <v>1621.8100973589292</v>
      </c>
      <c r="AA109" s="10" t="str">
        <f t="shared" si="27"/>
        <v>10190.1333747611i</v>
      </c>
      <c r="AC109" s="10">
        <f>1/(2*$T$3+$T$6*$T$2/('4. Boost Inductor'!$B$11*$T$3^2)*($T$5-0.5))</f>
        <v>0.16903313049357674</v>
      </c>
      <c r="AD109" s="10" t="str">
        <f t="shared" si="22"/>
        <v>0.00558796019561894-0.0393416658646758i</v>
      </c>
      <c r="AE109" s="10" t="str">
        <f t="shared" si="23"/>
        <v>0.999742865188678-0.0332790560324802i</v>
      </c>
      <c r="AF109" s="10" t="str">
        <f t="shared" si="28"/>
        <v>0.144600061994818-1.3359537455478i</v>
      </c>
      <c r="AG109" s="10">
        <f t="shared" si="18"/>
        <v>1.3437565211644933</v>
      </c>
      <c r="AH109" s="10">
        <f t="shared" si="19"/>
        <v>-1.4629787319258862</v>
      </c>
      <c r="AI109" s="10">
        <f t="shared" si="20"/>
        <v>-83.822506856754359</v>
      </c>
      <c r="AJ109" s="10">
        <f t="shared" si="21"/>
        <v>2.5664116973630318</v>
      </c>
      <c r="AL109" s="10" t="str">
        <f t="shared" si="24"/>
        <v>0.0324768116689257-0.00651989110209069i</v>
      </c>
      <c r="AM109" s="10" t="str">
        <f t="shared" si="25"/>
        <v>0.990405856208717-0.0972245066974497i</v>
      </c>
      <c r="AN109" s="10" t="str">
        <f t="shared" si="29"/>
        <v>-2.28026677888938+0.695324025316276i</v>
      </c>
      <c r="AO109" s="10">
        <f t="shared" si="30"/>
        <v>2.3839236739225895</v>
      </c>
      <c r="AP109" s="10">
        <f t="shared" si="31"/>
        <v>2.8456181694287639</v>
      </c>
      <c r="AQ109" s="10">
        <f t="shared" si="32"/>
        <v>163.04191121401141</v>
      </c>
      <c r="AR109" s="10">
        <f t="shared" si="33"/>
        <v>7.5458469297122255</v>
      </c>
      <c r="AS109" s="10">
        <f t="shared" si="34"/>
        <v>10.112258627075256</v>
      </c>
      <c r="AT109" s="10">
        <f t="shared" si="35"/>
        <v>79.219404357257048</v>
      </c>
    </row>
    <row r="110" spans="25:46" x14ac:dyDescent="0.25">
      <c r="Y110" s="10">
        <v>108</v>
      </c>
      <c r="Z110" s="10">
        <f t="shared" si="26"/>
        <v>1737.8008287493742</v>
      </c>
      <c r="AA110" s="10" t="str">
        <f t="shared" si="27"/>
        <v>10918.9246340026i</v>
      </c>
      <c r="AC110" s="10">
        <f>1/(2*$T$3+$T$6*$T$2/('4. Boost Inductor'!$B$11*$T$3^2)*($T$5-0.5))</f>
        <v>0.16903313049357674</v>
      </c>
      <c r="AD110" s="10" t="str">
        <f t="shared" si="22"/>
        <v>0.00538739307297307-0.0367231842277014i</v>
      </c>
      <c r="AE110" s="10" t="str">
        <f t="shared" si="23"/>
        <v>0.999704772168701-0.0356588462876898i</v>
      </c>
      <c r="AF110" s="10" t="str">
        <f t="shared" si="28"/>
        <v>0.137805820927304-1.24761496765193i</v>
      </c>
      <c r="AG110" s="10">
        <f t="shared" si="18"/>
        <v>1.2552025939228195</v>
      </c>
      <c r="AH110" s="10">
        <f t="shared" si="19"/>
        <v>-1.4607868583657964</v>
      </c>
      <c r="AI110" s="10">
        <f t="shared" si="20"/>
        <v>-83.696921752534891</v>
      </c>
      <c r="AJ110" s="10">
        <f t="shared" si="21"/>
        <v>1.9742765613099664</v>
      </c>
      <c r="AL110" s="10" t="str">
        <f t="shared" si="24"/>
        <v>0.0324711425652797-0.00608475206453065i</v>
      </c>
      <c r="AM110" s="10" t="str">
        <f t="shared" si="25"/>
        <v>0.989000165377221-0.104029301142464i</v>
      </c>
      <c r="AN110" s="10" t="str">
        <f t="shared" si="29"/>
        <v>-2.27662498503353+0.679478593537492i</v>
      </c>
      <c r="AO110" s="10">
        <f t="shared" si="30"/>
        <v>2.3758603665945119</v>
      </c>
      <c r="AP110" s="10">
        <f t="shared" si="31"/>
        <v>2.8515504707236952</v>
      </c>
      <c r="AQ110" s="10">
        <f t="shared" si="32"/>
        <v>163.38180704101094</v>
      </c>
      <c r="AR110" s="10">
        <f t="shared" si="33"/>
        <v>7.5164182564905611</v>
      </c>
      <c r="AS110" s="10">
        <f t="shared" si="34"/>
        <v>9.4906948178005273</v>
      </c>
      <c r="AT110" s="10">
        <f t="shared" si="35"/>
        <v>79.684885288476053</v>
      </c>
    </row>
    <row r="111" spans="25:46" x14ac:dyDescent="0.25">
      <c r="Y111" s="10">
        <v>109</v>
      </c>
      <c r="Z111" s="10">
        <f t="shared" si="26"/>
        <v>1862.0871366628671</v>
      </c>
      <c r="AA111" s="10" t="str">
        <f t="shared" si="27"/>
        <v>11699.8385377682i</v>
      </c>
      <c r="AC111" s="10">
        <f>1/(2*$T$3+$T$6*$T$2/('4. Boost Inductor'!$B$11*$T$3^2)*($T$5-0.5))</f>
        <v>0.16903313049357674</v>
      </c>
      <c r="AD111" s="10" t="str">
        <f t="shared" si="22"/>
        <v>0.00521264048003415-0.0342780911930781i</v>
      </c>
      <c r="AE111" s="10" t="str">
        <f t="shared" si="23"/>
        <v>0.999661036304293-0.0382087673297168i</v>
      </c>
      <c r="AF111" s="10" t="str">
        <f t="shared" si="28"/>
        <v>0.13188471850066-1.16516702947534i</v>
      </c>
      <c r="AG111" s="10">
        <f t="shared" si="18"/>
        <v>1.1726072597209973</v>
      </c>
      <c r="AH111" s="10">
        <f t="shared" si="19"/>
        <v>-1.458086495897724</v>
      </c>
      <c r="AI111" s="10">
        <f t="shared" si="20"/>
        <v>-83.542202379958809</v>
      </c>
      <c r="AJ111" s="10">
        <f t="shared" si="21"/>
        <v>1.3830515722955337</v>
      </c>
      <c r="AL111" s="10" t="str">
        <f t="shared" si="24"/>
        <v>0.0324662049282867-0.00567865001348906i</v>
      </c>
      <c r="AM111" s="10" t="str">
        <f t="shared" si="25"/>
        <v>0.987391154787677-0.111287103347572i</v>
      </c>
      <c r="AN111" s="10" t="str">
        <f t="shared" si="29"/>
        <v>-2.27256871159372+0.666775854859132i</v>
      </c>
      <c r="AO111" s="10">
        <f t="shared" si="30"/>
        <v>2.3683662279170146</v>
      </c>
      <c r="AP111" s="10">
        <f t="shared" si="31"/>
        <v>2.856200150101964</v>
      </c>
      <c r="AQ111" s="10">
        <f t="shared" si="32"/>
        <v>163.64821404547479</v>
      </c>
      <c r="AR111" s="10">
        <f t="shared" si="33"/>
        <v>7.4889771913012959</v>
      </c>
      <c r="AS111" s="10">
        <f t="shared" si="34"/>
        <v>8.8720287635968305</v>
      </c>
      <c r="AT111" s="10">
        <f t="shared" si="35"/>
        <v>80.106011665515979</v>
      </c>
    </row>
    <row r="112" spans="25:46" x14ac:dyDescent="0.25">
      <c r="Y112" s="10">
        <v>110</v>
      </c>
      <c r="Z112" s="10">
        <f t="shared" si="26"/>
        <v>1995.2623149688786</v>
      </c>
      <c r="AA112" s="10" t="str">
        <f t="shared" si="27"/>
        <v>12536.6028613816i</v>
      </c>
      <c r="AC112" s="10">
        <f>1/(2*$T$3+$T$6*$T$2/('4. Boost Inductor'!$B$11*$T$3^2)*($T$5-0.5))</f>
        <v>0.16903313049357674</v>
      </c>
      <c r="AD112" s="10" t="str">
        <f t="shared" si="22"/>
        <v>0.00506038729343562-0.0319950721570468i</v>
      </c>
      <c r="AE112" s="10" t="str">
        <f t="shared" si="23"/>
        <v>0.999610821834055-0.0409409706415768i</v>
      </c>
      <c r="AF112" s="10" t="str">
        <f t="shared" si="28"/>
        <v>0.126724428375017-1.08822844966738i</v>
      </c>
      <c r="AG112" s="10">
        <f t="shared" si="18"/>
        <v>1.0955821463552808</v>
      </c>
      <c r="AH112" s="10">
        <f t="shared" si="19"/>
        <v>-1.4548682580716319</v>
      </c>
      <c r="AI112" s="10">
        <f t="shared" si="20"/>
        <v>-83.357810935054374</v>
      </c>
      <c r="AJ112" s="10">
        <f t="shared" si="21"/>
        <v>0.7928989272324759</v>
      </c>
      <c r="AL112" s="10" t="str">
        <f t="shared" si="24"/>
        <v>0.0324619043851832-0.00529964810384853i</v>
      </c>
      <c r="AM112" s="10" t="str">
        <f t="shared" si="25"/>
        <v>0.985550241486076-0.11902278671987i</v>
      </c>
      <c r="AN112" s="10" t="str">
        <f t="shared" si="29"/>
        <v>-2.26802541980704+0.657132830331685i</v>
      </c>
      <c r="AO112" s="10">
        <f t="shared" si="30"/>
        <v>2.361305330022069</v>
      </c>
      <c r="AP112" s="10">
        <f t="shared" si="31"/>
        <v>2.8595770533223104</v>
      </c>
      <c r="AQ112" s="10">
        <f t="shared" si="32"/>
        <v>163.84169634782475</v>
      </c>
      <c r="AR112" s="10">
        <f t="shared" si="33"/>
        <v>7.4630429484378116</v>
      </c>
      <c r="AS112" s="10">
        <f t="shared" si="34"/>
        <v>8.2559418756702883</v>
      </c>
      <c r="AT112" s="10">
        <f t="shared" si="35"/>
        <v>80.483885412770377</v>
      </c>
    </row>
    <row r="113" spans="25:46" x14ac:dyDescent="0.25">
      <c r="Y113" s="10">
        <v>111</v>
      </c>
      <c r="Z113" s="10">
        <f t="shared" si="26"/>
        <v>2137.9620895022326</v>
      </c>
      <c r="AA113" s="10" t="str">
        <f t="shared" si="27"/>
        <v>13433.2119880674i</v>
      </c>
      <c r="AC113" s="10">
        <f>1/(2*$T$3+$T$6*$T$2/('4. Boost Inductor'!$B$11*$T$3^2)*($T$5-0.5))</f>
        <v>0.16903313049357674</v>
      </c>
      <c r="AD113" s="10" t="str">
        <f t="shared" si="22"/>
        <v>0.00492774233400742-0.0298635195568761i</v>
      </c>
      <c r="AE113" s="10" t="str">
        <f t="shared" si="23"/>
        <v>0.999553169253924-0.0438684730535821i</v>
      </c>
      <c r="AF113" s="10" t="str">
        <f t="shared" si="28"/>
        <v>0.122226959575994-1.01644179005904i</v>
      </c>
      <c r="AG113" s="10">
        <f t="shared" si="18"/>
        <v>1.0237643001324166</v>
      </c>
      <c r="AH113" s="10">
        <f t="shared" si="19"/>
        <v>-1.4511211176410541</v>
      </c>
      <c r="AI113" s="10">
        <f t="shared" si="20"/>
        <v>-83.143115603139435</v>
      </c>
      <c r="AJ113" s="10">
        <f t="shared" si="21"/>
        <v>0.20399962235800692</v>
      </c>
      <c r="AL113" s="10" t="str">
        <f t="shared" si="24"/>
        <v>0.0324581587375737-0.00494593853285381i</v>
      </c>
      <c r="AM113" s="10" t="str">
        <f t="shared" si="25"/>
        <v>0.983445081705771-0.127261361971922i</v>
      </c>
      <c r="AN113" s="10" t="str">
        <f t="shared" si="29"/>
        <v>-2.26291480616908+0.650476194855245i</v>
      </c>
      <c r="AO113" s="10">
        <f t="shared" si="30"/>
        <v>2.3545493624157898</v>
      </c>
      <c r="AP113" s="10">
        <f t="shared" si="31"/>
        <v>2.8616884699488843</v>
      </c>
      <c r="AQ113" s="10">
        <f t="shared" si="32"/>
        <v>163.96267160932118</v>
      </c>
      <c r="AR113" s="10">
        <f t="shared" si="33"/>
        <v>7.4381559945348643</v>
      </c>
      <c r="AS113" s="10">
        <f t="shared" si="34"/>
        <v>7.6421556168928708</v>
      </c>
      <c r="AT113" s="10">
        <f t="shared" si="35"/>
        <v>80.819556006181742</v>
      </c>
    </row>
    <row r="114" spans="25:46" x14ac:dyDescent="0.25">
      <c r="Y114" s="10">
        <v>112</v>
      </c>
      <c r="Z114" s="10">
        <f t="shared" si="26"/>
        <v>2290.8676527677708</v>
      </c>
      <c r="AA114" s="10" t="str">
        <f t="shared" si="27"/>
        <v>14393.9459765634i</v>
      </c>
      <c r="AC114" s="10">
        <f>1/(2*$T$3+$T$6*$T$2/('4. Boost Inductor'!$B$11*$T$3^2)*($T$5-0.5))</f>
        <v>0.16903313049357674</v>
      </c>
      <c r="AD114" s="10" t="str">
        <f t="shared" si="22"/>
        <v>0.00481218458351821-0.0278734946367166i</v>
      </c>
      <c r="AE114" s="10" t="str">
        <f t="shared" si="23"/>
        <v>0.999486977009204-0.0470052177766316i</v>
      </c>
      <c r="AF114" s="10" t="str">
        <f t="shared" si="28"/>
        <v>0.118306833556331-0.949472369082615i</v>
      </c>
      <c r="AG114" s="10">
        <f t="shared" si="18"/>
        <v>0.9568146563036537</v>
      </c>
      <c r="AH114" s="10">
        <f t="shared" si="19"/>
        <v>-1.4468325257818424</v>
      </c>
      <c r="AI114" s="10">
        <f t="shared" si="20"/>
        <v>-82.897397389552438</v>
      </c>
      <c r="AJ114" s="10">
        <f t="shared" si="21"/>
        <v>-0.38344361730033683</v>
      </c>
      <c r="AL114" s="10" t="str">
        <f t="shared" si="24"/>
        <v>0.0324548963912557-0.00461583397082618i</v>
      </c>
      <c r="AM114" s="10" t="str">
        <f t="shared" si="25"/>
        <v>0.981039156458839-0.136027645126388i</v>
      </c>
      <c r="AN114" s="10" t="str">
        <f t="shared" si="29"/>
        <v>-2.25714773612234+0.646740893834825i</v>
      </c>
      <c r="AO114" s="10">
        <f t="shared" si="30"/>
        <v>2.3479756571226358</v>
      </c>
      <c r="AP114" s="10">
        <f t="shared" si="31"/>
        <v>2.8625388617193184</v>
      </c>
      <c r="AQ114" s="10">
        <f t="shared" si="32"/>
        <v>164.0113954686997</v>
      </c>
      <c r="AR114" s="10">
        <f t="shared" si="33"/>
        <v>7.4138718001306536</v>
      </c>
      <c r="AS114" s="10">
        <f t="shared" si="34"/>
        <v>7.0304281828303168</v>
      </c>
      <c r="AT114" s="10">
        <f t="shared" si="35"/>
        <v>81.113998079147265</v>
      </c>
    </row>
    <row r="115" spans="25:46" x14ac:dyDescent="0.25">
      <c r="Y115" s="10">
        <v>113</v>
      </c>
      <c r="Z115" s="10">
        <f t="shared" si="26"/>
        <v>2454.708915685027</v>
      </c>
      <c r="AA115" s="10" t="str">
        <f t="shared" si="27"/>
        <v>15423.3909924349i</v>
      </c>
      <c r="AC115" s="10">
        <f>1/(2*$T$3+$T$6*$T$2/('4. Boost Inductor'!$B$11*$T$3^2)*($T$5-0.5))</f>
        <v>0.16903313049357674</v>
      </c>
      <c r="AD115" s="10" t="str">
        <f t="shared" si="22"/>
        <v>0.00471151612010232-0.0260156901051871i</v>
      </c>
      <c r="AE115" s="10" t="str">
        <f t="shared" si="23"/>
        <v>0.99941098048213-0.0503661396036967i</v>
      </c>
      <c r="AF115" s="10" t="str">
        <f t="shared" si="28"/>
        <v>0.114889488351063-0.887007005902449i</v>
      </c>
      <c r="AG115" s="10">
        <f t="shared" si="18"/>
        <v>0.89441658250146294</v>
      </c>
      <c r="AH115" s="10">
        <f t="shared" si="19"/>
        <v>-1.4419885613129158</v>
      </c>
      <c r="AI115" s="10">
        <f t="shared" si="20"/>
        <v>-82.619858669371609</v>
      </c>
      <c r="AJ115" s="10">
        <f t="shared" si="21"/>
        <v>-0.9692031510912904</v>
      </c>
      <c r="AL115" s="10" t="str">
        <f t="shared" si="24"/>
        <v>0.03245205498847-0.00430775955565693i</v>
      </c>
      <c r="AM115" s="10" t="str">
        <f t="shared" si="25"/>
        <v>0.978291337217516-0.145345837136529i</v>
      </c>
      <c r="AN115" s="10" t="str">
        <f t="shared" si="29"/>
        <v>-2.25062514662217+0.645868597447199i</v>
      </c>
      <c r="AO115" s="10">
        <f t="shared" si="30"/>
        <v>2.3414653095394082</v>
      </c>
      <c r="AP115" s="10">
        <f t="shared" si="31"/>
        <v>2.8621296865810621</v>
      </c>
      <c r="AQ115" s="10">
        <f t="shared" si="32"/>
        <v>163.98795146019594</v>
      </c>
      <c r="AR115" s="10">
        <f t="shared" si="33"/>
        <v>7.3897545557319084</v>
      </c>
      <c r="AS115" s="10">
        <f t="shared" si="34"/>
        <v>6.4205514046406176</v>
      </c>
      <c r="AT115" s="10">
        <f t="shared" si="35"/>
        <v>81.368092790824335</v>
      </c>
    </row>
    <row r="116" spans="25:46" x14ac:dyDescent="0.25">
      <c r="Y116" s="10">
        <v>114</v>
      </c>
      <c r="Z116" s="10">
        <f t="shared" si="26"/>
        <v>2630.26799189538</v>
      </c>
      <c r="AA116" s="10" t="str">
        <f t="shared" si="27"/>
        <v>16526.4612006218i</v>
      </c>
      <c r="AC116" s="10">
        <f>1/(2*$T$3+$T$6*$T$2/('4. Boost Inductor'!$B$11*$T$3^2)*($T$5-0.5))</f>
        <v>0.16903313049357674</v>
      </c>
      <c r="AD116" s="10" t="str">
        <f t="shared" si="22"/>
        <v>0.00462382095849798-0.0242813939311519i</v>
      </c>
      <c r="AE116" s="10" t="str">
        <f t="shared" si="23"/>
        <v>0.999323727876824-0.0539672345323598i</v>
      </c>
      <c r="AF116" s="10" t="str">
        <f t="shared" si="28"/>
        <v>0.111909882225358-0.828752803631755i</v>
      </c>
      <c r="AG116" s="10">
        <f t="shared" si="18"/>
        <v>0.83627449516721941</v>
      </c>
      <c r="AH116" s="10">
        <f t="shared" si="19"/>
        <v>-1.4365741173245605</v>
      </c>
      <c r="AI116" s="10">
        <f t="shared" si="20"/>
        <v>-82.309633880428876</v>
      </c>
      <c r="AJ116" s="10">
        <f t="shared" si="21"/>
        <v>-1.5530229639106765</v>
      </c>
      <c r="AL116" s="10" t="str">
        <f t="shared" si="24"/>
        <v>0.0324495802165017-0.00402024541498149i</v>
      </c>
      <c r="AM116" s="10" t="str">
        <f t="shared" si="25"/>
        <v>0.975155440035467-0.155238999209922i</v>
      </c>
      <c r="AN116" s="10" t="str">
        <f t="shared" si="29"/>
        <v>-2.24323693488872+0.647805953325333i</v>
      </c>
      <c r="AO116" s="10">
        <f t="shared" si="30"/>
        <v>2.3349013896121358</v>
      </c>
      <c r="AP116" s="10">
        <f t="shared" si="31"/>
        <v>2.860459313669089</v>
      </c>
      <c r="AQ116" s="10">
        <f t="shared" si="32"/>
        <v>163.89224614212691</v>
      </c>
      <c r="AR116" s="10">
        <f t="shared" si="33"/>
        <v>7.365370872760959</v>
      </c>
      <c r="AS116" s="10">
        <f t="shared" si="34"/>
        <v>5.812347908850283</v>
      </c>
      <c r="AT116" s="10">
        <f t="shared" si="35"/>
        <v>81.582612261698031</v>
      </c>
    </row>
    <row r="117" spans="25:46" x14ac:dyDescent="0.25">
      <c r="Y117" s="10">
        <v>115</v>
      </c>
      <c r="Z117" s="10">
        <f t="shared" si="26"/>
        <v>2818.3829312644511</v>
      </c>
      <c r="AA117" s="10" t="str">
        <f t="shared" si="27"/>
        <v>17708.4222237265i</v>
      </c>
      <c r="AC117" s="10">
        <f>1/(2*$T$3+$T$6*$T$2/('4. Boost Inductor'!$B$11*$T$3^2)*($T$5-0.5))</f>
        <v>0.16903313049357674</v>
      </c>
      <c r="AD117" s="10" t="str">
        <f t="shared" si="22"/>
        <v>0.00454742907354447-0.0226624544518054i</v>
      </c>
      <c r="AE117" s="10" t="str">
        <f t="shared" si="23"/>
        <v>0.999223552545325-0.0578256340689578i</v>
      </c>
      <c r="AF117" s="10" t="str">
        <f t="shared" si="28"/>
        <v>0.109311272331997-0.774435977562236i</v>
      </c>
      <c r="AG117" s="10">
        <f t="shared" si="18"/>
        <v>0.78211254791213791</v>
      </c>
      <c r="AH117" s="10">
        <f t="shared" si="19"/>
        <v>-1.4305731338160521</v>
      </c>
      <c r="AI117" s="10">
        <f t="shared" si="20"/>
        <v>-81.965802852463739</v>
      </c>
      <c r="AJ117" s="10">
        <f t="shared" si="21"/>
        <v>-2.1346149280582036</v>
      </c>
      <c r="AL117" s="10" t="str">
        <f t="shared" si="24"/>
        <v>0.032447424769909-0.0037519196820576i</v>
      </c>
      <c r="AM117" s="10" t="str">
        <f t="shared" si="25"/>
        <v>0.9715797804015-0.165728406463415i</v>
      </c>
      <c r="AN117" s="10" t="str">
        <f t="shared" si="29"/>
        <v>-2.23486085996009+0.652502595265191i</v>
      </c>
      <c r="AO117" s="10">
        <f t="shared" si="30"/>
        <v>2.3281672406013629</v>
      </c>
      <c r="AP117" s="10">
        <f t="shared" si="31"/>
        <v>2.8575230269432472</v>
      </c>
      <c r="AQ117" s="10">
        <f t="shared" si="32"/>
        <v>163.72400930529591</v>
      </c>
      <c r="AR117" s="10">
        <f t="shared" si="33"/>
        <v>7.3402834805670079</v>
      </c>
      <c r="AS117" s="10">
        <f t="shared" si="34"/>
        <v>5.2056685525088042</v>
      </c>
      <c r="AT117" s="10">
        <f t="shared" si="35"/>
        <v>81.758206452832169</v>
      </c>
    </row>
    <row r="118" spans="25:46" x14ac:dyDescent="0.25">
      <c r="Y118" s="10">
        <v>116</v>
      </c>
      <c r="Z118" s="10">
        <f t="shared" si="26"/>
        <v>3019.9517204020176</v>
      </c>
      <c r="AA118" s="10" t="str">
        <f t="shared" si="27"/>
        <v>18974.9162780217i</v>
      </c>
      <c r="AC118" s="10">
        <f>1/(2*$T$3+$T$6*$T$2/('4. Boost Inductor'!$B$11*$T$3^2)*($T$5-0.5))</f>
        <v>0.16903313049357674</v>
      </c>
      <c r="AD118" s="10" t="str">
        <f t="shared" si="22"/>
        <v>0.00448088496882238-0.0211512469097441i</v>
      </c>
      <c r="AE118" s="10" t="str">
        <f t="shared" si="23"/>
        <v>0.999108541231757-0.0619596844807499i</v>
      </c>
      <c r="AF118" s="10" t="str">
        <f t="shared" si="28"/>
        <v>0.107044146711469-0.723800732389787i</v>
      </c>
      <c r="AG118" s="10">
        <f t="shared" si="18"/>
        <v>0.73167338994470654</v>
      </c>
      <c r="AH118" s="10">
        <f t="shared" si="19"/>
        <v>-1.4239688861999582</v>
      </c>
      <c r="AI118" s="10">
        <f t="shared" si="20"/>
        <v>-81.587407337202222</v>
      </c>
      <c r="AJ118" s="10">
        <f t="shared" si="21"/>
        <v>-2.7136547886398925</v>
      </c>
      <c r="AL118" s="10" t="str">
        <f t="shared" si="24"/>
        <v>0.0324455474465819-0.00350150197340768i</v>
      </c>
      <c r="AM118" s="10" t="str">
        <f t="shared" si="25"/>
        <v>0.967506746109099-0.176832761511653i</v>
      </c>
      <c r="AN118" s="10" t="str">
        <f t="shared" si="29"/>
        <v>-2.22536149534664+0.659908863349118i</v>
      </c>
      <c r="AO118" s="10">
        <f t="shared" si="30"/>
        <v>2.3211448668487198</v>
      </c>
      <c r="AP118" s="10">
        <f t="shared" si="31"/>
        <v>2.8533131177380207</v>
      </c>
      <c r="AQ118" s="10">
        <f t="shared" si="32"/>
        <v>163.48279927570314</v>
      </c>
      <c r="AR118" s="10">
        <f t="shared" si="33"/>
        <v>7.3140449281157967</v>
      </c>
      <c r="AS118" s="10">
        <f t="shared" si="34"/>
        <v>4.6003901394759037</v>
      </c>
      <c r="AT118" s="10">
        <f t="shared" si="35"/>
        <v>81.895391938500921</v>
      </c>
    </row>
    <row r="119" spans="25:46" x14ac:dyDescent="0.25">
      <c r="Y119" s="10">
        <v>117</v>
      </c>
      <c r="Z119" s="10">
        <f t="shared" si="26"/>
        <v>3235.9365692962774</v>
      </c>
      <c r="AA119" s="10" t="str">
        <f t="shared" si="27"/>
        <v>20331.9891071675i</v>
      </c>
      <c r="AC119" s="10">
        <f>1/(2*$T$3+$T$6*$T$2/('4. Boost Inductor'!$B$11*$T$3^2)*($T$5-0.5))</f>
        <v>0.16903313049357674</v>
      </c>
      <c r="AD119" s="10" t="str">
        <f t="shared" si="22"/>
        <v>0.00442292022729756-0.019740641490379i</v>
      </c>
      <c r="AE119" s="10" t="str">
        <f t="shared" si="23"/>
        <v>0.998976497635726-0.0663890312658942i</v>
      </c>
      <c r="AF119" s="10" t="str">
        <f t="shared" si="28"/>
        <v>0.10506529049609-0.676608190885663i</v>
      </c>
      <c r="AG119" s="10">
        <f t="shared" si="18"/>
        <v>0.68471699207818526</v>
      </c>
      <c r="AH119" s="10">
        <f t="shared" si="19"/>
        <v>-1.4167443407927796</v>
      </c>
      <c r="AI119" s="10">
        <f t="shared" si="20"/>
        <v>-81.17347137647026</v>
      </c>
      <c r="AJ119" s="10">
        <f t="shared" si="21"/>
        <v>-3.2897778891491769</v>
      </c>
      <c r="AL119" s="10" t="str">
        <f t="shared" si="24"/>
        <v>0.0324439123603818-0.00326779729822701i</v>
      </c>
      <c r="AM119" s="10" t="str">
        <f t="shared" si="25"/>
        <v>0.962872411601932-0.188567249316825i</v>
      </c>
      <c r="AN119" s="10" t="str">
        <f t="shared" si="29"/>
        <v>-2.21458928547109+0.669973190389032i</v>
      </c>
      <c r="AO119" s="10">
        <f t="shared" si="30"/>
        <v>2.3137134176823655</v>
      </c>
      <c r="AP119" s="10">
        <f t="shared" si="31"/>
        <v>2.8478190690010812</v>
      </c>
      <c r="AQ119" s="10">
        <f t="shared" si="32"/>
        <v>163.16801347063733</v>
      </c>
      <c r="AR119" s="10">
        <f t="shared" si="33"/>
        <v>7.2861913029725756</v>
      </c>
      <c r="AS119" s="10">
        <f t="shared" si="34"/>
        <v>3.9964134138233987</v>
      </c>
      <c r="AT119" s="10">
        <f t="shared" si="35"/>
        <v>81.994542094167073</v>
      </c>
    </row>
    <row r="120" spans="25:46" x14ac:dyDescent="0.25">
      <c r="Y120" s="10">
        <v>118</v>
      </c>
      <c r="Z120" s="10">
        <f t="shared" si="26"/>
        <v>3467.368504525316</v>
      </c>
      <c r="AA120" s="10" t="str">
        <f t="shared" si="27"/>
        <v>21786.1188422107i</v>
      </c>
      <c r="AC120" s="10">
        <f>1/(2*$T$3+$T$6*$T$2/('4. Boost Inductor'!$B$11*$T$3^2)*($T$5-0.5))</f>
        <v>0.16903313049357674</v>
      </c>
      <c r="AD120" s="10" t="str">
        <f t="shared" si="22"/>
        <v>0.00437242954789182-0.0184239728955632i</v>
      </c>
      <c r="AE120" s="10" t="str">
        <f t="shared" si="23"/>
        <v>0.998824900609045-0.0711347091110516i</v>
      </c>
      <c r="AF120" s="10" t="str">
        <f t="shared" si="28"/>
        <v>0.103336969438719-0.63263537526141i</v>
      </c>
      <c r="AG120" s="10">
        <f t="shared" si="18"/>
        <v>0.64101953736600237</v>
      </c>
      <c r="AH120" s="10">
        <f t="shared" si="19"/>
        <v>-1.4088825895978669</v>
      </c>
      <c r="AI120" s="10">
        <f t="shared" si="20"/>
        <v>-80.723026213419828</v>
      </c>
      <c r="AJ120" s="10">
        <f t="shared" si="21"/>
        <v>-3.8625746719968337</v>
      </c>
      <c r="AL120" s="10" t="str">
        <f t="shared" si="24"/>
        <v>0.0324424882553324-0.00304969037140734i</v>
      </c>
      <c r="AM120" s="10" t="str">
        <f t="shared" si="25"/>
        <v>0.957606224712741-0.200942415531696i</v>
      </c>
      <c r="AN120" s="10" t="str">
        <f t="shared" si="29"/>
        <v>-2.2023797758827+0.682639111805548i</v>
      </c>
      <c r="AO120" s="10">
        <f t="shared" si="30"/>
        <v>2.3057477819969381</v>
      </c>
      <c r="AP120" s="10">
        <f t="shared" si="31"/>
        <v>2.8410278364072994</v>
      </c>
      <c r="AQ120" s="10">
        <f t="shared" si="32"/>
        <v>162.77890450532195</v>
      </c>
      <c r="AR120" s="10">
        <f t="shared" si="33"/>
        <v>7.2562359908502385</v>
      </c>
      <c r="AS120" s="10">
        <f t="shared" si="34"/>
        <v>3.3936613188534048</v>
      </c>
      <c r="AT120" s="10">
        <f t="shared" si="35"/>
        <v>82.055878291902118</v>
      </c>
    </row>
    <row r="121" spans="25:46" x14ac:dyDescent="0.25">
      <c r="Y121" s="10">
        <v>119</v>
      </c>
      <c r="Z121" s="10">
        <f t="shared" si="26"/>
        <v>3715.352290971724</v>
      </c>
      <c r="AA121" s="10" t="str">
        <f t="shared" si="27"/>
        <v>23344.2469256296i</v>
      </c>
      <c r="AC121" s="10">
        <f>1/(2*$T$3+$T$6*$T$2/('4. Boost Inductor'!$B$11*$T$3^2)*($T$5-0.5))</f>
        <v>0.16903313049357674</v>
      </c>
      <c r="AD121" s="10" t="str">
        <f t="shared" si="22"/>
        <v>0.00432844983165413-0.0171950114618173i</v>
      </c>
      <c r="AE121" s="10" t="str">
        <f t="shared" si="23"/>
        <v>0.998650856200729-0.0762192376020417i</v>
      </c>
      <c r="AF121" s="10" t="str">
        <f t="shared" si="28"/>
        <v>0.101826215896728-0.591674241544711i</v>
      </c>
      <c r="AG121" s="10">
        <f t="shared" ref="AG121:AG184" si="36">IMABS(AF121)</f>
        <v>0.60037237307470781</v>
      </c>
      <c r="AH121" s="10">
        <f t="shared" ref="AH121:AH184" si="37">IMARGUMENT(AF121)</f>
        <v>-1.4003673776754186</v>
      </c>
      <c r="AI121" s="10">
        <f t="shared" ref="AI121:AI184" si="38">AH121/(PI())*180</f>
        <v>-80.235140508604061</v>
      </c>
      <c r="AJ121" s="10">
        <f t="shared" ref="AJ121:AJ184" si="39">20*LOG(AG121,10)</f>
        <v>-4.4315860120283448</v>
      </c>
      <c r="AL121" s="10" t="str">
        <f t="shared" si="24"/>
        <v>0.0324412479082703-0.00284614030378086i</v>
      </c>
      <c r="AM121" s="10" t="str">
        <f t="shared" si="25"/>
        <v>0.951630805458266-0.213962853206756i</v>
      </c>
      <c r="AN121" s="10" t="str">
        <f t="shared" si="29"/>
        <v>-2.1885531074789+0.697841862252452i</v>
      </c>
      <c r="AO121" s="10">
        <f t="shared" si="30"/>
        <v>2.2971173171972561</v>
      </c>
      <c r="AP121" s="10">
        <f t="shared" si="31"/>
        <v>2.8329242337132943</v>
      </c>
      <c r="AQ121" s="10">
        <f t="shared" si="32"/>
        <v>162.31460227210462</v>
      </c>
      <c r="AR121" s="10">
        <f t="shared" si="33"/>
        <v>7.2236635165285312</v>
      </c>
      <c r="AS121" s="10">
        <f t="shared" si="34"/>
        <v>2.7920775045001864</v>
      </c>
      <c r="AT121" s="10">
        <f t="shared" si="35"/>
        <v>82.079461763500561</v>
      </c>
    </row>
    <row r="122" spans="25:46" x14ac:dyDescent="0.25">
      <c r="Y122" s="10">
        <v>120</v>
      </c>
      <c r="Z122" s="10">
        <f t="shared" si="26"/>
        <v>3981.0717055349701</v>
      </c>
      <c r="AA122" s="10" t="str">
        <f t="shared" si="27"/>
        <v>25013.8112470457i</v>
      </c>
      <c r="AC122" s="10">
        <f>1/(2*$T$3+$T$6*$T$2/('4. Boost Inductor'!$B$11*$T$3^2)*($T$5-0.5))</f>
        <v>0.16903313049357674</v>
      </c>
      <c r="AD122" s="10" t="str">
        <f t="shared" si="22"/>
        <v>0.00429014193426711-0.0160479358104557i</v>
      </c>
      <c r="AE122" s="10" t="str">
        <f t="shared" si="23"/>
        <v>0.998451042652076-0.0816667229429079i</v>
      </c>
      <c r="AF122" s="10" t="str">
        <f t="shared" si="28"/>
        <v>0.100504204183784-0.553530766568446i</v>
      </c>
      <c r="AG122" s="10">
        <f t="shared" si="36"/>
        <v>0.56258102047302239</v>
      </c>
      <c r="AH122" s="10">
        <f t="shared" si="37"/>
        <v>-1.3911837370157063</v>
      </c>
      <c r="AI122" s="10">
        <f t="shared" si="38"/>
        <v>-79.70895665823781</v>
      </c>
      <c r="AJ122" s="10">
        <f t="shared" si="39"/>
        <v>-4.9962984701804523</v>
      </c>
      <c r="AL122" s="10" t="str">
        <f t="shared" si="24"/>
        <v>0.0324401676085496-0.00265617564484787i</v>
      </c>
      <c r="AM122" s="10" t="str">
        <f t="shared" si="25"/>
        <v>0.944861906447703-0.227625687796519i</v>
      </c>
      <c r="AN122" s="10" t="str">
        <f t="shared" si="29"/>
        <v>-2.17291388783678+0.715504534058075i</v>
      </c>
      <c r="AO122" s="10">
        <f t="shared" si="30"/>
        <v>2.2876847471213364</v>
      </c>
      <c r="AP122" s="10">
        <f t="shared" si="31"/>
        <v>2.823491431514042</v>
      </c>
      <c r="AQ122" s="10">
        <f t="shared" si="32"/>
        <v>161.77414251710573</v>
      </c>
      <c r="AR122" s="10">
        <f t="shared" si="33"/>
        <v>7.1879235316264758</v>
      </c>
      <c r="AS122" s="10">
        <f t="shared" si="34"/>
        <v>2.1916250614460235</v>
      </c>
      <c r="AT122" s="10">
        <f t="shared" si="35"/>
        <v>82.06518585886792</v>
      </c>
    </row>
    <row r="123" spans="25:46" x14ac:dyDescent="0.25">
      <c r="Y123" s="10">
        <v>121</v>
      </c>
      <c r="Z123" s="10">
        <f t="shared" si="26"/>
        <v>4265.7951880159226</v>
      </c>
      <c r="AA123" s="10" t="str">
        <f t="shared" si="27"/>
        <v>26802.781648779i</v>
      </c>
      <c r="AC123" s="10">
        <f>1/(2*$T$3+$T$6*$T$2/('4. Boost Inductor'!$B$11*$T$3^2)*($T$5-0.5))</f>
        <v>0.16903313049357674</v>
      </c>
      <c r="AD123" s="10" t="str">
        <f t="shared" si="22"/>
        <v>0.00425677474861544-0.0149773070010251i</v>
      </c>
      <c r="AE123" s="10" t="str">
        <f t="shared" si="23"/>
        <v>0.998221647314752-0.087502965921317i</v>
      </c>
      <c r="AF123" s="10" t="str">
        <f t="shared" si="28"/>
        <v>0.0993457037764348-0.518024086635053i</v>
      </c>
      <c r="AG123" s="10">
        <f t="shared" si="36"/>
        <v>0.52746423878109128</v>
      </c>
      <c r="AH123" s="10">
        <f t="shared" si="37"/>
        <v>-1.3813187408586689</v>
      </c>
      <c r="AI123" s="10">
        <f t="shared" si="38"/>
        <v>-79.143734013526796</v>
      </c>
      <c r="AJ123" s="10">
        <f t="shared" si="39"/>
        <v>-5.5561395898570032</v>
      </c>
      <c r="AL123" s="10" t="str">
        <f t="shared" si="24"/>
        <v>0.032439226704861-0.00247888975482083i</v>
      </c>
      <c r="AM123" s="10" t="str">
        <f t="shared" si="25"/>
        <v>0.937208595142506-0.241918858707212i</v>
      </c>
      <c r="AN123" s="10" t="str">
        <f t="shared" si="29"/>
        <v>-2.15525157741616+0.735533791766094i</v>
      </c>
      <c r="AO123" s="10">
        <f t="shared" si="30"/>
        <v>2.2773052761508836</v>
      </c>
      <c r="AP123" s="10">
        <f t="shared" si="31"/>
        <v>2.8127115797831448</v>
      </c>
      <c r="AQ123" s="10">
        <f t="shared" si="32"/>
        <v>161.15650250914851</v>
      </c>
      <c r="AR123" s="10">
        <f t="shared" si="33"/>
        <v>7.1484250467440713</v>
      </c>
      <c r="AS123" s="10">
        <f t="shared" si="34"/>
        <v>1.5922854568870681</v>
      </c>
      <c r="AT123" s="10">
        <f t="shared" si="35"/>
        <v>82.012768495621714</v>
      </c>
    </row>
    <row r="124" spans="25:46" x14ac:dyDescent="0.25">
      <c r="Y124" s="10">
        <v>122</v>
      </c>
      <c r="Z124" s="10">
        <f t="shared" si="26"/>
        <v>4570.881896148745</v>
      </c>
      <c r="AA124" s="10" t="str">
        <f t="shared" si="27"/>
        <v>28719.697970735i</v>
      </c>
      <c r="AC124" s="10">
        <f>1/(2*$T$3+$T$6*$T$2/('4. Boost Inductor'!$B$11*$T$3^2)*($T$5-0.5))</f>
        <v>0.16903313049357674</v>
      </c>
      <c r="AD124" s="10" t="str">
        <f t="shared" si="22"/>
        <v>0.00422771132266254-0.0139780441477136i</v>
      </c>
      <c r="AE124" s="10" t="str">
        <f t="shared" si="23"/>
        <v>0.997958294318183-0.0937555763314257i</v>
      </c>
      <c r="AF124" s="10" t="str">
        <f t="shared" si="28"/>
        <v>0.0983286002494583-0.484985686517094i</v>
      </c>
      <c r="AG124" s="10">
        <f t="shared" si="36"/>
        <v>0.49485313958130522</v>
      </c>
      <c r="AH124" s="10">
        <f t="shared" si="37"/>
        <v>-1.3707623915451594</v>
      </c>
      <c r="AI124" s="10">
        <f t="shared" si="38"/>
        <v>-78.538899750796872</v>
      </c>
      <c r="AJ124" s="10">
        <f t="shared" si="39"/>
        <v>-6.110473400431311</v>
      </c>
      <c r="AL124" s="10" t="str">
        <f t="shared" si="24"/>
        <v>0.0324384072105153-0.00231343648429633i</v>
      </c>
      <c r="AM124" s="10" t="str">
        <f t="shared" si="25"/>
        <v>0.928573728982867-0.256819208083666i</v>
      </c>
      <c r="AN124" s="10" t="str">
        <f t="shared" si="29"/>
        <v>-2.1353415532655+0.757815165799569i</v>
      </c>
      <c r="AO124" s="10">
        <f t="shared" si="30"/>
        <v>2.2658259806565342</v>
      </c>
      <c r="AP124" s="10">
        <f t="shared" si="31"/>
        <v>2.8005665649724238</v>
      </c>
      <c r="AQ124" s="10">
        <f t="shared" si="32"/>
        <v>160.46064441837032</v>
      </c>
      <c r="AR124" s="10">
        <f t="shared" si="33"/>
        <v>7.1045310448573034</v>
      </c>
      <c r="AS124" s="10">
        <f t="shared" si="34"/>
        <v>0.99405764442599232</v>
      </c>
      <c r="AT124" s="10">
        <f t="shared" si="35"/>
        <v>81.921744667573449</v>
      </c>
    </row>
    <row r="125" spans="25:46" x14ac:dyDescent="0.25">
      <c r="Y125" s="10">
        <v>123</v>
      </c>
      <c r="Z125" s="10">
        <f t="shared" si="26"/>
        <v>4897.7881936844633</v>
      </c>
      <c r="AA125" s="10" t="str">
        <f t="shared" si="27"/>
        <v>30773.7108162359i</v>
      </c>
      <c r="AC125" s="10">
        <f>1/(2*$T$3+$T$6*$T$2/('4. Boost Inductor'!$B$11*$T$3^2)*($T$5-0.5))</f>
        <v>0.16903313049357674</v>
      </c>
      <c r="AD125" s="10" t="str">
        <f t="shared" si="22"/>
        <v>0.0042023967544935-0.0130454014499389i</v>
      </c>
      <c r="AE125" s="10" t="str">
        <f t="shared" si="23"/>
        <v>0.997655961645874-0.100454094026728i</v>
      </c>
      <c r="AF125" s="10" t="str">
        <f t="shared" si="28"/>
        <v>0.0974334750322223-0.454258637163921i</v>
      </c>
      <c r="AG125" s="10">
        <f t="shared" si="36"/>
        <v>0.46459034804317395</v>
      </c>
      <c r="AH125" s="10">
        <f t="shared" si="37"/>
        <v>-1.359508652888316</v>
      </c>
      <c r="AI125" s="10">
        <f t="shared" si="38"/>
        <v>-77.894108022016525</v>
      </c>
      <c r="AJ125" s="10">
        <f t="shared" si="39"/>
        <v>-6.6585963399249426</v>
      </c>
      <c r="AL125" s="10" t="str">
        <f t="shared" si="24"/>
        <v>0.0324376934596471-0.00215902614125952i</v>
      </c>
      <c r="AM125" s="10" t="str">
        <f t="shared" si="25"/>
        <v>0.918854804147131-0.272290405045571i</v>
      </c>
      <c r="AN125" s="10" t="str">
        <f t="shared" si="29"/>
        <v>-2.11294703535872+0.782207988631909i</v>
      </c>
      <c r="AO125" s="10">
        <f t="shared" si="30"/>
        <v>2.2530855535710979</v>
      </c>
      <c r="AP125" s="10">
        <f t="shared" si="31"/>
        <v>2.7870389117040615</v>
      </c>
      <c r="AQ125" s="10">
        <f t="shared" si="32"/>
        <v>159.6855669793768</v>
      </c>
      <c r="AR125" s="10">
        <f t="shared" si="33"/>
        <v>7.055553659051828</v>
      </c>
      <c r="AS125" s="10">
        <f t="shared" si="34"/>
        <v>0.39695731912688537</v>
      </c>
      <c r="AT125" s="10">
        <f t="shared" si="35"/>
        <v>81.791458957360277</v>
      </c>
    </row>
    <row r="126" spans="25:46" x14ac:dyDescent="0.25">
      <c r="Y126" s="10">
        <v>124</v>
      </c>
      <c r="Z126" s="10">
        <f t="shared" si="26"/>
        <v>5248.0746024977261</v>
      </c>
      <c r="AA126" s="10" t="str">
        <f t="shared" si="27"/>
        <v>32974.6252333961i</v>
      </c>
      <c r="AC126" s="10">
        <f>1/(2*$T$3+$T$6*$T$2/('4. Boost Inductor'!$B$11*$T$3^2)*($T$5-0.5))</f>
        <v>0.16903313049357674</v>
      </c>
      <c r="AD126" s="10" t="str">
        <f t="shared" si="22"/>
        <v>0.00418034763861147-0.0121749465824987i</v>
      </c>
      <c r="AE126" s="10" t="str">
        <f t="shared" si="23"/>
        <v>0.997308886091351-0.10763011672183i</v>
      </c>
      <c r="AF126" s="10" t="str">
        <f t="shared" si="28"/>
        <v>0.0966432361454305-0.425696880280428i</v>
      </c>
      <c r="AG126" s="10">
        <f t="shared" si="36"/>
        <v>0.43652920746858448</v>
      </c>
      <c r="AH126" s="10">
        <f t="shared" si="37"/>
        <v>-1.3475566343098708</v>
      </c>
      <c r="AI126" s="10">
        <f t="shared" si="38"/>
        <v>-77.209307800809668</v>
      </c>
      <c r="AJ126" s="10">
        <f t="shared" si="39"/>
        <v>-7.1997338607914774</v>
      </c>
      <c r="AL126" s="10" t="str">
        <f t="shared" si="24"/>
        <v>0.0324370718077707-0.00201492172643558i</v>
      </c>
      <c r="AM126" s="10" t="str">
        <f t="shared" si="25"/>
        <v>0.907945265764313-0.288280756913738i</v>
      </c>
      <c r="AN126" s="10" t="str">
        <f t="shared" si="29"/>
        <v>-2.08782207697749+0.808540090577819i</v>
      </c>
      <c r="AO126" s="10">
        <f t="shared" si="30"/>
        <v>2.2389144921560065</v>
      </c>
      <c r="AP126" s="10">
        <f t="shared" si="31"/>
        <v>2.7721128368412407</v>
      </c>
      <c r="AQ126" s="10">
        <f t="shared" si="32"/>
        <v>158.83036588504089</v>
      </c>
      <c r="AR126" s="10">
        <f t="shared" si="33"/>
        <v>7.0007501494374029</v>
      </c>
      <c r="AS126" s="10">
        <f t="shared" si="34"/>
        <v>-0.19898371135407444</v>
      </c>
      <c r="AT126" s="10">
        <f t="shared" si="35"/>
        <v>81.621058084231223</v>
      </c>
    </row>
    <row r="127" spans="25:46" x14ac:dyDescent="0.25">
      <c r="Y127" s="10">
        <v>125</v>
      </c>
      <c r="Z127" s="10">
        <f t="shared" si="26"/>
        <v>5623.4132519034893</v>
      </c>
      <c r="AA127" s="10" t="str">
        <f t="shared" si="27"/>
        <v>35332.947520559i</v>
      </c>
      <c r="AC127" s="10">
        <f>1/(2*$T$3+$T$6*$T$2/('4. Boost Inductor'!$B$11*$T$3^2)*($T$5-0.5))</f>
        <v>0.16903313049357674</v>
      </c>
      <c r="AD127" s="10" t="str">
        <f t="shared" si="22"/>
        <v>0.00416114286590541-0.0113625403869141i</v>
      </c>
      <c r="AE127" s="10" t="str">
        <f t="shared" si="23"/>
        <v>0.996910454350331-0.115317434589823i</v>
      </c>
      <c r="AF127" s="10" t="str">
        <f t="shared" si="28"/>
        <v>0.0959427930096083-0.399164557807656i</v>
      </c>
      <c r="AG127" s="10">
        <f t="shared" si="36"/>
        <v>0.41053302393384389</v>
      </c>
      <c r="AH127" s="10">
        <f t="shared" si="37"/>
        <v>-1.3349119281598576</v>
      </c>
      <c r="AI127" s="10">
        <f t="shared" si="38"/>
        <v>-76.484819505230789</v>
      </c>
      <c r="AJ127" s="10">
        <f t="shared" si="39"/>
        <v>-7.7330380359152926</v>
      </c>
      <c r="AL127" s="10" t="str">
        <f t="shared" si="24"/>
        <v>0.0324365303709699-0.00188043541923419i</v>
      </c>
      <c r="AM127" s="10" t="str">
        <f t="shared" si="25"/>
        <v>0.89573636945925-0.304720988497627i</v>
      </c>
      <c r="AN127" s="10" t="str">
        <f t="shared" si="29"/>
        <v>-2.05971582534964+0.83660244029446i</v>
      </c>
      <c r="AO127" s="10">
        <f t="shared" si="30"/>
        <v>2.2231358312758118</v>
      </c>
      <c r="AP127" s="10">
        <f t="shared" si="31"/>
        <v>2.7557754595620438</v>
      </c>
      <c r="AQ127" s="10">
        <f t="shared" si="32"/>
        <v>157.89430311862998</v>
      </c>
      <c r="AR127" s="10">
        <f t="shared" si="33"/>
        <v>6.9393199689719935</v>
      </c>
      <c r="AS127" s="10">
        <f t="shared" si="34"/>
        <v>-0.79371806694329905</v>
      </c>
      <c r="AT127" s="10">
        <f t="shared" si="35"/>
        <v>81.409483613399189</v>
      </c>
    </row>
    <row r="128" spans="25:46" x14ac:dyDescent="0.25">
      <c r="Y128" s="10">
        <v>126</v>
      </c>
      <c r="Z128" s="10">
        <f t="shared" si="26"/>
        <v>6025.5958607435741</v>
      </c>
      <c r="AA128" s="10" t="str">
        <f t="shared" si="27"/>
        <v>37859.9353792262i</v>
      </c>
      <c r="AC128" s="10">
        <f>1/(2*$T$3+$T$6*$T$2/('4. Boost Inductor'!$B$11*$T$3^2)*($T$5-0.5))</f>
        <v>0.16903313049357674</v>
      </c>
      <c r="AD128" s="10" t="str">
        <f t="shared" si="22"/>
        <v>0.00414441560457918-0.010604317803463i</v>
      </c>
      <c r="AE128" s="10" t="str">
        <f t="shared" si="23"/>
        <v>0.996453078264071-0.123552171606334i</v>
      </c>
      <c r="AF128" s="10" t="str">
        <f t="shared" si="28"/>
        <v>0.0953187692280937-0.374535384250714i</v>
      </c>
      <c r="AG128" s="10">
        <f t="shared" si="36"/>
        <v>0.386474348208246</v>
      </c>
      <c r="AH128" s="10">
        <f t="shared" si="37"/>
        <v>-1.3215880933135811</v>
      </c>
      <c r="AI128" s="10">
        <f t="shared" si="38"/>
        <v>-75.721420001609815</v>
      </c>
      <c r="AJ128" s="10">
        <f t="shared" si="39"/>
        <v>-8.2575865317471848</v>
      </c>
      <c r="AL128" s="10" t="str">
        <f t="shared" si="24"/>
        <v>0.0324360587987363-0.00175492529768846i</v>
      </c>
      <c r="AM128" s="10" t="str">
        <f t="shared" si="25"/>
        <v>0.882119678241219-0.32152210592262i</v>
      </c>
      <c r="AN128" s="10" t="str">
        <f t="shared" si="29"/>
        <v>-2.02837824531569+0.866143996564395i</v>
      </c>
      <c r="AO128" s="10">
        <f t="shared" si="30"/>
        <v>2.2055665324026164</v>
      </c>
      <c r="AP128" s="10">
        <f t="shared" si="31"/>
        <v>2.7380181645720771</v>
      </c>
      <c r="AQ128" s="10">
        <f t="shared" si="32"/>
        <v>156.87688506013609</v>
      </c>
      <c r="AR128" s="10">
        <f t="shared" si="33"/>
        <v>6.8704032619621227</v>
      </c>
      <c r="AS128" s="10">
        <f t="shared" si="34"/>
        <v>-1.3871832697850621</v>
      </c>
      <c r="AT128" s="10">
        <f t="shared" si="35"/>
        <v>81.155465058526275</v>
      </c>
    </row>
    <row r="129" spans="9:46" x14ac:dyDescent="0.25">
      <c r="Y129" s="10">
        <v>127</v>
      </c>
      <c r="Z129" s="10">
        <f t="shared" si="26"/>
        <v>6456.5422903465496</v>
      </c>
      <c r="AA129" s="10" t="str">
        <f t="shared" si="27"/>
        <v>40567.6516538891i</v>
      </c>
      <c r="AC129" s="10">
        <f>1/(2*$T$3+$T$6*$T$2/('4. Boost Inductor'!$B$11*$T$3^2)*($T$5-0.5))</f>
        <v>0.16903313049357674</v>
      </c>
      <c r="AD129" s="10" t="str">
        <f t="shared" si="22"/>
        <v>0.00412984631114477-0.00989666998253048i</v>
      </c>
      <c r="AE129" s="10" t="str">
        <f t="shared" si="23"/>
        <v>0.995928051956488-0.132372933466665i</v>
      </c>
      <c r="AF129" s="10" t="str">
        <f t="shared" si="28"/>
        <v>0.0947592479512864-0.351692059754244i</v>
      </c>
      <c r="AG129" s="10">
        <f t="shared" si="36"/>
        <v>0.36423429268326191</v>
      </c>
      <c r="AH129" s="10">
        <f t="shared" si="37"/>
        <v>-1.3076082669984339</v>
      </c>
      <c r="AI129" s="10">
        <f t="shared" si="38"/>
        <v>-74.920434955425947</v>
      </c>
      <c r="AJ129" s="10">
        <f t="shared" si="39"/>
        <v>-8.7723833552264772</v>
      </c>
      <c r="AL129" s="10" t="str">
        <f t="shared" si="24"/>
        <v>0.0324356480761164-0.00163779227687372i</v>
      </c>
      <c r="AM129" s="10" t="str">
        <f t="shared" si="25"/>
        <v>0.866990261508897-0.338573501318787i</v>
      </c>
      <c r="AN129" s="10" t="str">
        <f t="shared" si="29"/>
        <v>-1.99356745921374+0.896867129606158i</v>
      </c>
      <c r="AO129" s="10">
        <f t="shared" si="30"/>
        <v>2.1860196391167022</v>
      </c>
      <c r="AP129" s="10">
        <f t="shared" si="31"/>
        <v>2.7188381064182225</v>
      </c>
      <c r="AQ129" s="10">
        <f t="shared" si="32"/>
        <v>155.77794867710475</v>
      </c>
      <c r="AR129" s="10">
        <f t="shared" si="33"/>
        <v>6.7930811863240015</v>
      </c>
      <c r="AS129" s="10">
        <f t="shared" si="34"/>
        <v>-1.9793021689024757</v>
      </c>
      <c r="AT129" s="10">
        <f t="shared" si="35"/>
        <v>80.857513721678799</v>
      </c>
    </row>
    <row r="130" spans="9:46" x14ac:dyDescent="0.25">
      <c r="Y130" s="10">
        <v>128</v>
      </c>
      <c r="Z130" s="10">
        <f t="shared" si="26"/>
        <v>6918.3097091893569</v>
      </c>
      <c r="AA130" s="10" t="str">
        <f t="shared" si="27"/>
        <v>43469.0219152964i</v>
      </c>
      <c r="AC130" s="10">
        <f>1/(2*$T$3+$T$6*$T$2/('4. Boost Inductor'!$B$11*$T$3^2)*($T$5-0.5))</f>
        <v>0.16903313049357674</v>
      </c>
      <c r="AD130" s="10" t="str">
        <f t="shared" ref="AD130:AD193" si="40">IMDIV(IMSUM(1,IMDIV(AA130,$W$3)),IMSUM(1,IMDIV(AA130,$W$5)))</f>
        <v>0.00411715663969467-0.0092362275140027i</v>
      </c>
      <c r="AE130" s="10" t="str">
        <f t="shared" ref="AE130:AE193" si="41">IMDIV(IMSUM(1,IMDIV(IMPRODUCT(-1,AA130),$W$4)),IMSUM(1,IMDIV(AA130,$W$1*$W$2),IMDIV(IMPOWER(AA130,2),$W$1^2)))</f>
        <v>0.995325388301842-0.141820961741821i</v>
      </c>
      <c r="AF130" s="10" t="str">
        <f t="shared" si="28"/>
        <v>0.0942535450372371-0.330525721808726i</v>
      </c>
      <c r="AG130" s="10">
        <f t="shared" si="36"/>
        <v>0.34370188176567468</v>
      </c>
      <c r="AH130" s="10">
        <f t="shared" si="37"/>
        <v>-1.2930068727317801</v>
      </c>
      <c r="AI130" s="10">
        <f t="shared" si="38"/>
        <v>-74.083836688940167</v>
      </c>
      <c r="AJ130" s="10">
        <f t="shared" si="39"/>
        <v>-9.2763618019333194</v>
      </c>
      <c r="AL130" s="10" t="str">
        <f t="shared" ref="AL130:AL193" si="42">IMDIV(IMSUM(1,IMDIV(AA130,wz1e)),IMSUM(1,IMDIV(AA130,wp1e)))</f>
        <v>0.0324352903513847-0.00152847725130791i</v>
      </c>
      <c r="AM130" s="10" t="str">
        <f t="shared" ref="AM130:AM193" si="43">IMDIV(IMSUM(1,IMDIV(AA130,wz2e)),IMSUM(1,IMDIV(AA130,wp2e)))</f>
        <v>0.850250630726999-0.355741495960298i</v>
      </c>
      <c r="AN130" s="10" t="str">
        <f t="shared" si="29"/>
        <v>-1.95505878214851+0.928424065101583i</v>
      </c>
      <c r="AO130" s="10">
        <f t="shared" si="30"/>
        <v>2.1643072994183989</v>
      </c>
      <c r="AP130" s="10">
        <f t="shared" si="31"/>
        <v>2.6982398308040674</v>
      </c>
      <c r="AQ130" s="10">
        <f t="shared" si="32"/>
        <v>154.59775441916639</v>
      </c>
      <c r="AR130" s="10">
        <f t="shared" si="33"/>
        <v>6.7063784832811919</v>
      </c>
      <c r="AS130" s="10">
        <f t="shared" si="34"/>
        <v>-2.5699833186521275</v>
      </c>
      <c r="AT130" s="10">
        <f t="shared" si="35"/>
        <v>80.513917730226225</v>
      </c>
    </row>
    <row r="131" spans="9:46" x14ac:dyDescent="0.25">
      <c r="Y131" s="10">
        <v>129</v>
      </c>
      <c r="Z131" s="10">
        <f t="shared" ref="Z131:Z194" si="44">10^(LOG($F$3/$F$2,10)*Y131/200)</f>
        <v>7413.1024130091646</v>
      </c>
      <c r="AA131" s="10" t="str">
        <f t="shared" ref="AA131:AA194" si="45">IMPRODUCT(COMPLEX(0,1),2*PI()*Z131)</f>
        <v>46577.8961620367i</v>
      </c>
      <c r="AC131" s="10">
        <f>1/(2*$T$3+$T$6*$T$2/('4. Boost Inductor'!$B$11*$T$3^2)*($T$5-0.5))</f>
        <v>0.16903313049357674</v>
      </c>
      <c r="AD131" s="10" t="str">
        <f t="shared" si="40"/>
        <v>0.00410610413440067-0.00861984471426692i</v>
      </c>
      <c r="AE131" s="10" t="str">
        <f t="shared" si="41"/>
        <v>0.994633631817645-0.151940293734178i</v>
      </c>
      <c r="AF131" s="10" t="str">
        <f t="shared" ref="AF131:AF194" si="46">IMPRODUCT(AB$2,AC131,AD131,AE131)</f>
        <v>0.0937920057468448-0.310935433473272i</v>
      </c>
      <c r="AG131" s="10">
        <f t="shared" si="36"/>
        <v>0.32477343507625084</v>
      </c>
      <c r="AH131" s="10">
        <f t="shared" si="37"/>
        <v>-1.2778313754774531</v>
      </c>
      <c r="AI131" s="10">
        <f t="shared" si="38"/>
        <v>-73.214344744254859</v>
      </c>
      <c r="AJ131" s="10">
        <f t="shared" si="39"/>
        <v>-9.7683900240617927</v>
      </c>
      <c r="AL131" s="10" t="str">
        <f t="shared" si="42"/>
        <v>0.0324349787859527-0.00142645842778708i</v>
      </c>
      <c r="AM131" s="10" t="str">
        <f t="shared" si="43"/>
        <v>0.831815395977351-0.372868557147119i</v>
      </c>
      <c r="AN131" s="10" t="str">
        <f t="shared" ref="AN131:AN194" si="47">IMPRODUCT($AK$2,AL131,AM131)</f>
        <v>-1.91265541608991+0.960414890872342i</v>
      </c>
      <c r="AO131" s="10">
        <f t="shared" ref="AO131:AO194" si="48">IMABS(AN131)</f>
        <v>2.1402447297697988</v>
      </c>
      <c r="AP131" s="10">
        <f t="shared" ref="AP131:AP194" si="49">IMARGUMENT(AN131)</f>
        <v>2.6762369739267231</v>
      </c>
      <c r="AQ131" s="10">
        <f t="shared" ref="AQ131:AQ194" si="50">AP131/(PI())*180</f>
        <v>153.33708358286418</v>
      </c>
      <c r="AR131" s="10">
        <f t="shared" ref="AR131:AR194" si="51">20*LOG(AO131,10)</f>
        <v>6.6092687259716278</v>
      </c>
      <c r="AS131" s="10">
        <f t="shared" ref="AS131:AS194" si="52">AR131+AJ131</f>
        <v>-3.1591212980901648</v>
      </c>
      <c r="AT131" s="10">
        <f t="shared" ref="AT131:AT194" si="53">AQ131+AI131</f>
        <v>80.122738838609322</v>
      </c>
    </row>
    <row r="132" spans="9:46" x14ac:dyDescent="0.25">
      <c r="Y132" s="10">
        <v>130</v>
      </c>
      <c r="Z132" s="10">
        <f t="shared" si="44"/>
        <v>7943.2823472428154</v>
      </c>
      <c r="AA132" s="10" t="str">
        <f t="shared" si="45"/>
        <v>49909.114934975i</v>
      </c>
      <c r="AC132" s="10">
        <f>1/(2*$T$3+$T$6*$T$2/('4. Boost Inductor'!$B$11*$T$3^2)*($T$5-0.5))</f>
        <v>0.16903313049357674</v>
      </c>
      <c r="AD132" s="10" t="str">
        <f t="shared" si="40"/>
        <v>0.00409647760482562-0.00804458491176836i</v>
      </c>
      <c r="AE132" s="10" t="str">
        <f t="shared" si="41"/>
        <v>0.993839644696449-0.16277792723374i</v>
      </c>
      <c r="AF132" s="10" t="str">
        <f t="shared" si="46"/>
        <v>0.0933658211593436-0.292827706014714i</v>
      </c>
      <c r="AG132" s="10">
        <f t="shared" si="36"/>
        <v>0.30735198384034923</v>
      </c>
      <c r="AH132" s="10">
        <f t="shared" si="37"/>
        <v>-1.2621440163719522</v>
      </c>
      <c r="AI132" s="10">
        <f t="shared" si="38"/>
        <v>-72.315525275803537</v>
      </c>
      <c r="AJ132" s="10">
        <f t="shared" si="39"/>
        <v>-10.247279586562094</v>
      </c>
      <c r="AL132" s="10" t="str">
        <f t="shared" si="42"/>
        <v>0.032434707423642-0.00133124883600101i</v>
      </c>
      <c r="AM132" s="10" t="str">
        <f t="shared" si="43"/>
        <v>0.811616557349682-0.389773451092356i</v>
      </c>
      <c r="AN132" s="10" t="str">
        <f t="shared" si="47"/>
        <v>-1.86620060480796+0.992387728207919i</v>
      </c>
      <c r="AO132" s="10">
        <f t="shared" si="48"/>
        <v>2.1136551517414732</v>
      </c>
      <c r="AP132" s="10">
        <f t="shared" si="49"/>
        <v>2.6528539836457972</v>
      </c>
      <c r="AQ132" s="10">
        <f t="shared" si="50"/>
        <v>151.99733692737169</v>
      </c>
      <c r="AR132" s="10">
        <f t="shared" si="51"/>
        <v>6.500682649849753</v>
      </c>
      <c r="AS132" s="10">
        <f t="shared" si="52"/>
        <v>-3.7465969367123408</v>
      </c>
      <c r="AT132" s="10">
        <f t="shared" si="53"/>
        <v>79.681811651568154</v>
      </c>
    </row>
    <row r="133" spans="9:46" x14ac:dyDescent="0.25">
      <c r="Y133" s="10">
        <v>131</v>
      </c>
      <c r="Z133" s="10">
        <f t="shared" si="44"/>
        <v>8511.3803820237626</v>
      </c>
      <c r="AA133" s="10" t="str">
        <f t="shared" si="45"/>
        <v>53478.5801601483i</v>
      </c>
      <c r="AC133" s="10">
        <f>1/(2*$T$3+$T$6*$T$2/('4. Boost Inductor'!$B$11*$T$3^2)*($T$5-0.5))</f>
        <v>0.16903313049357674</v>
      </c>
      <c r="AD133" s="10" t="str">
        <f t="shared" si="40"/>
        <v>0.00408809309643453-0.0075077066738594i</v>
      </c>
      <c r="AE133" s="10" t="str">
        <f t="shared" si="41"/>
        <v>0.992928362268197-0.174383989048995i</v>
      </c>
      <c r="AF133" s="10" t="str">
        <f t="shared" si="46"/>
        <v>0.0929668608737423-0.276116053881851i</v>
      </c>
      <c r="AG133" s="10">
        <f t="shared" si="36"/>
        <v>0.29134672202034984</v>
      </c>
      <c r="AH133" s="10">
        <f t="shared" si="37"/>
        <v>-1.2460234399789514</v>
      </c>
      <c r="AI133" s="10">
        <f t="shared" si="38"/>
        <v>-71.391884285166356</v>
      </c>
      <c r="AJ133" s="10">
        <f t="shared" si="39"/>
        <v>-10.711797276994551</v>
      </c>
      <c r="AL133" s="10" t="str">
        <f t="shared" si="42"/>
        <v>0.0324344710768257-0.00124239400510798i</v>
      </c>
      <c r="AM133" s="10" t="str">
        <f t="shared" si="43"/>
        <v>0.789609255912253-0.406252601198316i</v>
      </c>
      <c r="AN133" s="10" t="str">
        <f t="shared" si="47"/>
        <v>-1.81559084655801+1.02384168627524i</v>
      </c>
      <c r="AO133" s="10">
        <f t="shared" si="48"/>
        <v>2.0843756668748936</v>
      </c>
      <c r="AP133" s="10">
        <f t="shared" si="49"/>
        <v>2.6281277878161777</v>
      </c>
      <c r="AQ133" s="10">
        <f t="shared" si="50"/>
        <v>150.58063026292052</v>
      </c>
      <c r="AR133" s="10">
        <f t="shared" si="51"/>
        <v>6.3795198908957627</v>
      </c>
      <c r="AS133" s="10">
        <f t="shared" si="52"/>
        <v>-4.332277386098788</v>
      </c>
      <c r="AT133" s="10">
        <f t="shared" si="53"/>
        <v>79.188745977754166</v>
      </c>
    </row>
    <row r="134" spans="9:46" x14ac:dyDescent="0.25">
      <c r="Y134" s="10">
        <v>132</v>
      </c>
      <c r="Z134" s="10">
        <f t="shared" si="44"/>
        <v>9120.1083935590923</v>
      </c>
      <c r="AA134" s="10" t="str">
        <f t="shared" si="45"/>
        <v>57303.3310582957i</v>
      </c>
      <c r="AC134" s="10">
        <f>1/(2*$T$3+$T$6*$T$2/('4. Boost Inductor'!$B$11*$T$3^2)*($T$5-0.5))</f>
        <v>0.16903313049357674</v>
      </c>
      <c r="AD134" s="10" t="str">
        <f t="shared" si="40"/>
        <v>0.00408079037987744-0.00700665091974701i</v>
      </c>
      <c r="AE134" s="10" t="str">
        <f t="shared" si="41"/>
        <v>0.991882513720508-0.186811905777133i</v>
      </c>
      <c r="AF134" s="10" t="str">
        <f t="shared" si="46"/>
        <v>0.0925875188818885-0.260720579952085i</v>
      </c>
      <c r="AG134" s="10">
        <f t="shared" si="36"/>
        <v>0.27667249495252616</v>
      </c>
      <c r="AH134" s="10">
        <f t="shared" si="37"/>
        <v>-1.2295661090530892</v>
      </c>
      <c r="AI134" s="10">
        <f t="shared" si="38"/>
        <v>-70.448948681064337</v>
      </c>
      <c r="AJ134" s="10">
        <f t="shared" si="39"/>
        <v>-11.160680271036087</v>
      </c>
      <c r="AL134" s="10" t="str">
        <f t="shared" si="42"/>
        <v>0.03243426522726-0.00115946979522857i</v>
      </c>
      <c r="AM134" s="10" t="str">
        <f t="shared" si="43"/>
        <v>0.76577770569809-0.422082898181108i</v>
      </c>
      <c r="AN134" s="10" t="str">
        <f t="shared" si="47"/>
        <v>-1.76078952396626+1.05423316539827i</v>
      </c>
      <c r="AO134" s="10">
        <f t="shared" si="48"/>
        <v>2.0522639486028558</v>
      </c>
      <c r="AP134" s="10">
        <f t="shared" si="49"/>
        <v>2.6021093171022724</v>
      </c>
      <c r="AQ134" s="10">
        <f t="shared" si="50"/>
        <v>149.08988170162903</v>
      </c>
      <c r="AR134" s="10">
        <f t="shared" si="51"/>
        <v>6.2446643222638274</v>
      </c>
      <c r="AS134" s="10">
        <f t="shared" si="52"/>
        <v>-4.9160159487722597</v>
      </c>
      <c r="AT134" s="10">
        <f t="shared" si="53"/>
        <v>78.640933020564688</v>
      </c>
    </row>
    <row r="135" spans="9:46" s="23" customFormat="1" x14ac:dyDescent="0.25">
      <c r="I135" s="21"/>
      <c r="J135" s="21"/>
      <c r="K135" s="21"/>
      <c r="L135" s="21"/>
      <c r="M135" s="21"/>
      <c r="N135" s="21"/>
      <c r="O135" s="21"/>
      <c r="P135" s="21"/>
      <c r="Q135" s="21"/>
      <c r="R135" s="22"/>
      <c r="S135" s="22"/>
      <c r="T135" s="22"/>
      <c r="U135" s="22"/>
      <c r="V135" s="22"/>
      <c r="W135" s="22"/>
      <c r="X135" s="22"/>
      <c r="Y135" s="22">
        <v>133</v>
      </c>
      <c r="Z135" s="22">
        <f t="shared" si="44"/>
        <v>9772.3722095580997</v>
      </c>
      <c r="AA135" s="22" t="str">
        <f t="shared" si="45"/>
        <v>61401.6254833856i</v>
      </c>
      <c r="AB135" s="22"/>
      <c r="AC135" s="22">
        <f>1/(2*$T$3+$T$6*$T$2/('4. Boost Inductor'!$B$11*$T$3^2)*($T$5-0.5))</f>
        <v>0.16903313049357674</v>
      </c>
      <c r="AD135" s="22" t="str">
        <f t="shared" si="40"/>
        <v>0.00407442989238827-0.00653902886660295i</v>
      </c>
      <c r="AE135" s="22" t="str">
        <f t="shared" si="41"/>
        <v>0.990682303397827-0.200118574768935i</v>
      </c>
      <c r="AF135" s="22" t="str">
        <f t="shared" si="46"/>
        <v>0.0922205697656073-0.246567588999722i</v>
      </c>
      <c r="AG135" s="22">
        <f t="shared" si="36"/>
        <v>0.2632493294066085</v>
      </c>
      <c r="AH135" s="22">
        <f t="shared" si="37"/>
        <v>-1.2128873879435147</v>
      </c>
      <c r="AI135" s="22">
        <f t="shared" si="38"/>
        <v>-69.493328353809957</v>
      </c>
      <c r="AJ135" s="22">
        <f t="shared" si="39"/>
        <v>-11.592654528994281</v>
      </c>
      <c r="AK135" s="22"/>
      <c r="AL135" s="22" t="str">
        <f t="shared" si="42"/>
        <v>0.0324340859397119-0.00108208037354806i</v>
      </c>
      <c r="AM135" s="22" t="str">
        <f t="shared" si="43"/>
        <v>0.740140920818516-0.437026146016248i</v>
      </c>
      <c r="AN135" s="22" t="str">
        <f t="shared" si="47"/>
        <v>-1.70184006385883+1.08298593139635i</v>
      </c>
      <c r="AO135" s="22">
        <f t="shared" si="48"/>
        <v>2.0172055251157346</v>
      </c>
      <c r="AP135" s="22">
        <f t="shared" si="49"/>
        <v>2.5748647744740132</v>
      </c>
      <c r="AQ135" s="22">
        <f t="shared" si="50"/>
        <v>147.5288843942655</v>
      </c>
      <c r="AR135" s="22">
        <f t="shared" si="51"/>
        <v>6.0950029803823016</v>
      </c>
      <c r="AS135" s="22">
        <f t="shared" si="52"/>
        <v>-5.4976515486119792</v>
      </c>
      <c r="AT135" s="22">
        <f t="shared" si="53"/>
        <v>78.035556040455546</v>
      </c>
    </row>
    <row r="136" spans="9:46" s="23" customFormat="1" x14ac:dyDescent="0.25">
      <c r="I136" s="21"/>
      <c r="J136" s="21"/>
      <c r="K136" s="21"/>
      <c r="L136" s="21"/>
      <c r="M136" s="21"/>
      <c r="N136" s="21"/>
      <c r="O136" s="21"/>
      <c r="P136" s="21"/>
      <c r="Q136" s="21"/>
      <c r="R136" s="22"/>
      <c r="S136" s="22"/>
      <c r="T136" s="22"/>
      <c r="U136" s="22"/>
      <c r="V136" s="22"/>
      <c r="W136" s="22"/>
      <c r="X136" s="22"/>
      <c r="Y136" s="22">
        <v>134</v>
      </c>
      <c r="Z136" s="22">
        <f t="shared" si="44"/>
        <v>10471.285480509003</v>
      </c>
      <c r="AA136" s="22" t="str">
        <f t="shared" si="45"/>
        <v>65793.0270784171i</v>
      </c>
      <c r="AB136" s="22"/>
      <c r="AC136" s="22">
        <f>1/(2*$T$3+$T$6*$T$2/('4. Boost Inductor'!$B$11*$T$3^2)*($T$5-0.5))</f>
        <v>0.16903313049357674</v>
      </c>
      <c r="AD136" s="22" t="str">
        <f t="shared" si="40"/>
        <v>0.00406889007317597-0.00610261075827365i</v>
      </c>
      <c r="AE136" s="22" t="str">
        <f t="shared" si="41"/>
        <v>0.989305047453311-0.214364532611994i</v>
      </c>
      <c r="AF136" s="22" t="str">
        <f t="shared" si="46"/>
        <v>0.0918590325901082-0.233589227335664i</v>
      </c>
      <c r="AG136" s="22">
        <f t="shared" si="36"/>
        <v>0.25100200994347255</v>
      </c>
      <c r="AH136" s="22">
        <f t="shared" si="37"/>
        <v>-1.1961221691989781</v>
      </c>
      <c r="AI136" s="22">
        <f t="shared" si="38"/>
        <v>-68.53275207713439</v>
      </c>
      <c r="AJ136" s="22">
        <f t="shared" si="39"/>
        <v>-12.006456016286482</v>
      </c>
      <c r="AK136" s="22"/>
      <c r="AL136" s="22" t="str">
        <f t="shared" si="42"/>
        <v>0.0324339297867312-0.00100985632539983i</v>
      </c>
      <c r="AM136" s="22" t="str">
        <f t="shared" si="43"/>
        <v>0.712757756077212-0.450835219379987i</v>
      </c>
      <c r="AN136" s="22" t="str">
        <f t="shared" si="47"/>
        <v>-1.63887751970149+1.10950513425339i</v>
      </c>
      <c r="AO136" s="22">
        <f t="shared" si="48"/>
        <v>1.9791213119759838</v>
      </c>
      <c r="AP136" s="22">
        <f t="shared" si="49"/>
        <v>2.5464765343594986</v>
      </c>
      <c r="AQ136" s="22">
        <f t="shared" si="50"/>
        <v>145.90235804789984</v>
      </c>
      <c r="AR136" s="22">
        <f t="shared" si="51"/>
        <v>5.929448309666431</v>
      </c>
      <c r="AS136" s="22">
        <f t="shared" si="52"/>
        <v>-6.0770077066200505</v>
      </c>
      <c r="AT136" s="22">
        <f t="shared" si="53"/>
        <v>77.369605970765448</v>
      </c>
    </row>
    <row r="137" spans="9:46" x14ac:dyDescent="0.25">
      <c r="Y137" s="10">
        <v>135</v>
      </c>
      <c r="Z137" s="10">
        <f t="shared" si="44"/>
        <v>11220.184543019639</v>
      </c>
      <c r="AA137" s="10" t="str">
        <f t="shared" si="45"/>
        <v>70498.4986645445i</v>
      </c>
      <c r="AC137" s="10">
        <f>1/(2*$T$3+$T$6*$T$2/('4. Boost Inductor'!$B$11*$T$3^2)*($T$5-0.5))</f>
        <v>0.16903313049357674</v>
      </c>
      <c r="AD137" s="10" t="str">
        <f t="shared" si="40"/>
        <v>0.00406406504213229-0.00569531532845867i</v>
      </c>
      <c r="AE137" s="10" t="str">
        <f t="shared" si="41"/>
        <v>0.987724760044642-0.229614117676666i</v>
      </c>
      <c r="AF137" s="10" t="str">
        <f t="shared" si="46"/>
        <v>0.0914960400443376-0.221723146552069i</v>
      </c>
      <c r="AG137" s="10">
        <f t="shared" si="36"/>
        <v>0.23985970703881321</v>
      </c>
      <c r="AH137" s="10">
        <f t="shared" si="37"/>
        <v>-1.1794249218119783</v>
      </c>
      <c r="AI137" s="10">
        <f t="shared" si="38"/>
        <v>-67.576070272373471</v>
      </c>
      <c r="AJ137" s="10">
        <f t="shared" si="39"/>
        <v>-12.400854021919836</v>
      </c>
      <c r="AL137" s="10" t="str">
        <f t="shared" si="42"/>
        <v>0.0324337937831295-0.000942452891340046i</v>
      </c>
      <c r="AM137" s="10" t="str">
        <f t="shared" si="43"/>
        <v>0.683730715495246-0.463261854341469i</v>
      </c>
      <c r="AN137" s="10" t="str">
        <f t="shared" si="47"/>
        <v>-1.57213732228845+1.13319509059002i</v>
      </c>
      <c r="AO137" s="10">
        <f t="shared" si="48"/>
        <v>1.9379749413936245</v>
      </c>
      <c r="AP137" s="10">
        <f t="shared" si="49"/>
        <v>2.5170435543197032</v>
      </c>
      <c r="AQ137" s="10">
        <f t="shared" si="50"/>
        <v>144.21597251312676</v>
      </c>
      <c r="AR137" s="10">
        <f t="shared" si="51"/>
        <v>5.7469631438219491</v>
      </c>
      <c r="AS137" s="10">
        <f t="shared" si="52"/>
        <v>-6.6538908780978865</v>
      </c>
      <c r="AT137" s="10">
        <f t="shared" si="53"/>
        <v>76.639902240753287</v>
      </c>
    </row>
    <row r="138" spans="9:46" x14ac:dyDescent="0.25">
      <c r="Y138" s="10">
        <v>136</v>
      </c>
      <c r="Z138" s="10">
        <f t="shared" si="44"/>
        <v>12022.644346174109</v>
      </c>
      <c r="AA138" s="10" t="str">
        <f t="shared" si="45"/>
        <v>75540.5023093269i</v>
      </c>
      <c r="AC138" s="10">
        <f>1/(2*$T$3+$T$6*$T$2/('4. Boost Inductor'!$B$11*$T$3^2)*($T$5-0.5))</f>
        <v>0.16903313049357674</v>
      </c>
      <c r="AD138" s="10" t="str">
        <f t="shared" si="40"/>
        <v>0.00405986257768046-0.00531519995267251i</v>
      </c>
      <c r="AE138" s="10" t="str">
        <f t="shared" si="41"/>
        <v>0.985911682654663-0.245935622311391i</v>
      </c>
      <c r="AF138" s="10" t="str">
        <f t="shared" si="46"/>
        <v>0.0911247105218949-0.210912189267272i</v>
      </c>
      <c r="AG138" s="10">
        <f t="shared" si="36"/>
        <v>0.22975566249651544</v>
      </c>
      <c r="AH138" s="10">
        <f t="shared" si="37"/>
        <v>-1.1629690563900041</v>
      </c>
      <c r="AI138" s="10">
        <f t="shared" si="38"/>
        <v>-66.633218635459087</v>
      </c>
      <c r="AJ138" s="10">
        <f t="shared" si="39"/>
        <v>-12.774675526089606</v>
      </c>
      <c r="AL138" s="10" t="str">
        <f t="shared" si="42"/>
        <v>0.0324336753289133-0.000879548321820283i</v>
      </c>
      <c r="AM138" s="10" t="str">
        <f t="shared" si="43"/>
        <v>0.653207972942771-0.47406580412036i</v>
      </c>
      <c r="AN138" s="10" t="str">
        <f t="shared" si="47"/>
        <v>-1.50195992084928+1.15348021279909i</v>
      </c>
      <c r="AO138" s="10">
        <f t="shared" si="48"/>
        <v>1.8937793443684534</v>
      </c>
      <c r="AP138" s="10">
        <f t="shared" si="49"/>
        <v>2.4866811940154734</v>
      </c>
      <c r="AQ138" s="10">
        <f t="shared" si="50"/>
        <v>142.47633741163884</v>
      </c>
      <c r="AR138" s="10">
        <f t="shared" si="51"/>
        <v>5.5465875070113846</v>
      </c>
      <c r="AS138" s="10">
        <f t="shared" si="52"/>
        <v>-7.2280880190782213</v>
      </c>
      <c r="AT138" s="10">
        <f t="shared" si="53"/>
        <v>75.84311877617975</v>
      </c>
    </row>
    <row r="139" spans="9:46" x14ac:dyDescent="0.25">
      <c r="Y139" s="10">
        <v>137</v>
      </c>
      <c r="Z139" s="10">
        <f t="shared" si="44"/>
        <v>12882.495516931338</v>
      </c>
      <c r="AA139" s="10" t="str">
        <f t="shared" si="45"/>
        <v>80943.1065517899i</v>
      </c>
      <c r="AC139" s="10">
        <f>1/(2*$T$3+$T$6*$T$2/('4. Boost Inductor'!$B$11*$T$3^2)*($T$5-0.5))</f>
        <v>0.16903313049357674</v>
      </c>
      <c r="AD139" s="10" t="str">
        <f t="shared" si="40"/>
        <v>0.00405620235525844-0.00496045144572897i</v>
      </c>
      <c r="AE139" s="10" t="str">
        <f t="shared" si="41"/>
        <v>0.983831749493714-0.263401429102069i</v>
      </c>
      <c r="AF139" s="10" t="str">
        <f t="shared" si="46"/>
        <v>0.0907380209492224-0.201104094700217i</v>
      </c>
      <c r="AG139" s="10">
        <f t="shared" si="36"/>
        <v>0.22062693704753139</v>
      </c>
      <c r="AH139" s="10">
        <f t="shared" si="37"/>
        <v>-1.1469455335121848</v>
      </c>
      <c r="AI139" s="10">
        <f t="shared" si="38"/>
        <v>-65.715138401628721</v>
      </c>
      <c r="AJ139" s="10">
        <f t="shared" si="39"/>
        <v>-13.126829285159339</v>
      </c>
      <c r="AL139" s="10" t="str">
        <f t="shared" si="42"/>
        <v>0.0324335721595801-0.00082084234162204i</v>
      </c>
      <c r="AM139" s="10" t="str">
        <f t="shared" si="43"/>
        <v>0.621383111652587-0.483024886446656i</v>
      </c>
      <c r="AN139" s="10" t="str">
        <f t="shared" si="47"/>
        <v>-1.428790180619+1.16982799583108i</v>
      </c>
      <c r="AO139" s="10">
        <f t="shared" si="48"/>
        <v>1.8466019928678286</v>
      </c>
      <c r="AP139" s="10">
        <f t="shared" si="49"/>
        <v>2.455520362006216</v>
      </c>
      <c r="AQ139" s="10">
        <f t="shared" si="50"/>
        <v>140.69095325139224</v>
      </c>
      <c r="AR139" s="10">
        <f t="shared" si="51"/>
        <v>5.3274659983795791</v>
      </c>
      <c r="AS139" s="10">
        <f t="shared" si="52"/>
        <v>-7.7993632867797595</v>
      </c>
      <c r="AT139" s="10">
        <f t="shared" si="53"/>
        <v>74.975814849763523</v>
      </c>
    </row>
    <row r="140" spans="9:46" x14ac:dyDescent="0.25">
      <c r="Y140" s="10">
        <v>138</v>
      </c>
      <c r="Z140" s="10">
        <f t="shared" si="44"/>
        <v>13803.842646028841</v>
      </c>
      <c r="AA140" s="10" t="str">
        <f t="shared" si="45"/>
        <v>86732.1012961474i</v>
      </c>
      <c r="AC140" s="10">
        <f>1/(2*$T$3+$T$6*$T$2/('4. Boost Inductor'!$B$11*$T$3^2)*($T$5-0.5))</f>
        <v>0.16903313049357674</v>
      </c>
      <c r="AD140" s="10" t="str">
        <f t="shared" si="40"/>
        <v>0.00405301441287733-0.0046293774638684i</v>
      </c>
      <c r="AE140" s="10" t="str">
        <f t="shared" si="41"/>
        <v>0.981445981323483-0.282088124182267i</v>
      </c>
      <c r="AF140" s="10" t="str">
        <f t="shared" si="46"/>
        <v>0.0903286782572791-0.192251221803766i</v>
      </c>
      <c r="AG140" s="10">
        <f t="shared" si="36"/>
        <v>0.21241422363097034</v>
      </c>
      <c r="AH140" s="10">
        <f t="shared" si="37"/>
        <v>-1.1315606856814207</v>
      </c>
      <c r="AI140" s="10">
        <f t="shared" si="38"/>
        <v>-64.833651552474933</v>
      </c>
      <c r="AJ140" s="10">
        <f t="shared" si="39"/>
        <v>-13.456328109851029</v>
      </c>
      <c r="AL140" s="10" t="str">
        <f t="shared" si="42"/>
        <v>0.0324334823028295-0.000766054716737635i</v>
      </c>
      <c r="AM140" s="10" t="str">
        <f t="shared" si="43"/>
        <v>0.588492234938149-0.489945259326668i</v>
      </c>
      <c r="AN140" s="10" t="str">
        <f t="shared" si="47"/>
        <v>-1.35317073752592+1.18177253647698i</v>
      </c>
      <c r="AO140" s="10">
        <f t="shared" si="48"/>
        <v>1.7965682210446885</v>
      </c>
      <c r="AP140" s="10">
        <f t="shared" si="49"/>
        <v>2.4237059505977792</v>
      </c>
      <c r="AQ140" s="10">
        <f t="shared" si="50"/>
        <v>138.86812174999594</v>
      </c>
      <c r="AR140" s="10">
        <f t="shared" si="51"/>
        <v>5.0888742661678732</v>
      </c>
      <c r="AS140" s="10">
        <f t="shared" si="52"/>
        <v>-8.3674538436831547</v>
      </c>
      <c r="AT140" s="10">
        <f t="shared" si="53"/>
        <v>74.034470197521003</v>
      </c>
    </row>
    <row r="141" spans="9:46" x14ac:dyDescent="0.25">
      <c r="Y141" s="10">
        <v>139</v>
      </c>
      <c r="Z141" s="10">
        <f t="shared" si="44"/>
        <v>14791.083881682063</v>
      </c>
      <c r="AA141" s="10" t="str">
        <f t="shared" si="45"/>
        <v>92935.1209226455i</v>
      </c>
      <c r="AC141" s="10">
        <f>1/(2*$T$3+$T$6*$T$2/('4. Boost Inductor'!$B$11*$T$3^2)*($T$5-0.5))</f>
        <v>0.16903313049357674</v>
      </c>
      <c r="AD141" s="10" t="str">
        <f t="shared" si="40"/>
        <v>0.00405023781450802-0.0043203984729635i</v>
      </c>
      <c r="AE141" s="10" t="str">
        <f t="shared" si="41"/>
        <v>0.978709799462457-0.30207657884918i</v>
      </c>
      <c r="AF141" s="10" t="str">
        <f t="shared" si="46"/>
        <v>0.0898889874656649-0.18431028754578i</v>
      </c>
      <c r="AG141" s="10">
        <f t="shared" si="36"/>
        <v>0.20506172768903164</v>
      </c>
      <c r="AH141" s="10">
        <f t="shared" si="37"/>
        <v>-1.1170332771892693</v>
      </c>
      <c r="AI141" s="10">
        <f t="shared" si="38"/>
        <v>-64.001292358612133</v>
      </c>
      <c r="AJ141" s="10">
        <f t="shared" si="39"/>
        <v>-13.762307758450731</v>
      </c>
      <c r="AL141" s="10" t="str">
        <f t="shared" si="42"/>
        <v>0.0324334040408577-0.000714923916868095i</v>
      </c>
      <c r="AM141" s="10" t="str">
        <f t="shared" si="43"/>
        <v>0.554808324584204-0.494671124611613i</v>
      </c>
      <c r="AN141" s="10" t="str">
        <f t="shared" si="47"/>
        <v>-1.27572902594948+1.18893674414392i</v>
      </c>
      <c r="AO141" s="10">
        <f t="shared" si="48"/>
        <v>1.7438621302229009</v>
      </c>
      <c r="AP141" s="10">
        <f t="shared" si="49"/>
        <v>2.3913945702049424</v>
      </c>
      <c r="AQ141" s="10">
        <f t="shared" si="50"/>
        <v>137.01681602324464</v>
      </c>
      <c r="AR141" s="10">
        <f t="shared" si="51"/>
        <v>4.8302429324555636</v>
      </c>
      <c r="AS141" s="10">
        <f t="shared" si="52"/>
        <v>-8.9320648259951678</v>
      </c>
      <c r="AT141" s="10">
        <f t="shared" si="53"/>
        <v>73.015523664632511</v>
      </c>
    </row>
    <row r="142" spans="9:46" x14ac:dyDescent="0.25">
      <c r="Y142" s="10">
        <v>140</v>
      </c>
      <c r="Z142" s="10">
        <f t="shared" si="44"/>
        <v>15848.931924611119</v>
      </c>
      <c r="AA142" s="10" t="str">
        <f t="shared" si="45"/>
        <v>99581.7762032061i</v>
      </c>
      <c r="AC142" s="10">
        <f>1/(2*$T$3+$T$6*$T$2/('4. Boost Inductor'!$B$11*$T$3^2)*($T$5-0.5))</f>
        <v>0.16903313049357674</v>
      </c>
      <c r="AD142" s="10" t="str">
        <f t="shared" si="40"/>
        <v>0.00404781948581031-0.00403204024647847i</v>
      </c>
      <c r="AE142" s="10" t="str">
        <f t="shared" si="41"/>
        <v>0.975572251233677-0.323451988649955i</v>
      </c>
      <c r="AF142" s="10" t="str">
        <f t="shared" si="46"/>
        <v>0.0894107144124203-0.177242117738444i</v>
      </c>
      <c r="AG142" s="10">
        <f t="shared" si="36"/>
        <v>0.19851711299570077</v>
      </c>
      <c r="AH142" s="10">
        <f t="shared" si="37"/>
        <v>-1.103590884070031</v>
      </c>
      <c r="AI142" s="10">
        <f t="shared" si="38"/>
        <v>-63.231099966324088</v>
      </c>
      <c r="AJ142" s="10">
        <f t="shared" si="39"/>
        <v>-14.04404098615289</v>
      </c>
      <c r="AL142" s="10" t="str">
        <f t="shared" si="42"/>
        <v>0.0324333358775196-0.000667205867163238i</v>
      </c>
      <c r="AM142" s="10" t="str">
        <f t="shared" si="43"/>
        <v>0.520633003921449-0.497093008761235i</v>
      </c>
      <c r="AN142" s="10" t="str">
        <f t="shared" si="47"/>
        <v>-1.19715834045014+1.19105128719812i</v>
      </c>
      <c r="AO142" s="10">
        <f t="shared" si="48"/>
        <v>1.6887247439549264</v>
      </c>
      <c r="AP142" s="10">
        <f t="shared" si="49"/>
        <v>2.3587516526247421</v>
      </c>
      <c r="AQ142" s="10">
        <f t="shared" si="50"/>
        <v>135.14651461490575</v>
      </c>
      <c r="AR142" s="10">
        <f t="shared" si="51"/>
        <v>4.5511773380936011</v>
      </c>
      <c r="AS142" s="10">
        <f t="shared" si="52"/>
        <v>-9.4928636480592878</v>
      </c>
      <c r="AT142" s="10">
        <f t="shared" si="53"/>
        <v>71.915414648581674</v>
      </c>
    </row>
    <row r="143" spans="9:46" x14ac:dyDescent="0.25">
      <c r="Y143" s="10">
        <v>141</v>
      </c>
      <c r="Z143" s="10">
        <f t="shared" si="44"/>
        <v>16982.436524617453</v>
      </c>
      <c r="AA143" s="10" t="str">
        <f t="shared" si="45"/>
        <v>106703.795651586i</v>
      </c>
      <c r="AC143" s="10">
        <f>1/(2*$T$3+$T$6*$T$2/('4. Boost Inductor'!$B$11*$T$3^2)*($T$5-0.5))</f>
        <v>0.16903313049357674</v>
      </c>
      <c r="AD143" s="10" t="str">
        <f t="shared" si="40"/>
        <v>0.00404571319999722-0.00376292685900781i</v>
      </c>
      <c r="AE143" s="10" t="str">
        <f t="shared" si="41"/>
        <v>0.971975137756077-0.346303856593973i</v>
      </c>
      <c r="AF143" s="10" t="str">
        <f t="shared" si="46"/>
        <v>0.0888849412283106-0.171011407572087i</v>
      </c>
      <c r="AG143" s="10">
        <f t="shared" si="36"/>
        <v>0.19273150831388905</v>
      </c>
      <c r="AH143" s="10">
        <f t="shared" si="37"/>
        <v>-1.0914657307057789</v>
      </c>
      <c r="AI143" s="10">
        <f t="shared" si="38"/>
        <v>-62.536379852603595</v>
      </c>
      <c r="AJ143" s="10">
        <f t="shared" si="39"/>
        <v>-14.300945596018694</v>
      </c>
      <c r="AL143" s="10" t="str">
        <f t="shared" si="42"/>
        <v>0.032433276509726-0.000622672783252929i</v>
      </c>
      <c r="AM143" s="10" t="str">
        <f t="shared" si="43"/>
        <v>0.486286160599096-0.497153831584753i</v>
      </c>
      <c r="AN143" s="10" t="str">
        <f t="shared" si="47"/>
        <v>-1.11819397745858+1.18796846010925i</v>
      </c>
      <c r="AO143" s="10">
        <f t="shared" si="48"/>
        <v>1.6314493045874832</v>
      </c>
      <c r="AP143" s="10">
        <f t="shared" si="49"/>
        <v>2.3259480502387611</v>
      </c>
      <c r="AQ143" s="10">
        <f t="shared" si="50"/>
        <v>133.26700664536378</v>
      </c>
      <c r="AR143" s="10">
        <f t="shared" si="51"/>
        <v>4.2514716626313191</v>
      </c>
      <c r="AS143" s="10">
        <f t="shared" si="52"/>
        <v>-10.049473933387375</v>
      </c>
      <c r="AT143" s="10">
        <f t="shared" si="53"/>
        <v>70.730626792760177</v>
      </c>
    </row>
    <row r="144" spans="9:46" x14ac:dyDescent="0.25">
      <c r="Y144" s="10">
        <v>142</v>
      </c>
      <c r="Z144" s="10">
        <f t="shared" si="44"/>
        <v>18197.008586099837</v>
      </c>
      <c r="AA144" s="10" t="str">
        <f t="shared" si="45"/>
        <v>114335.176982803i</v>
      </c>
      <c r="AC144" s="10">
        <f>1/(2*$T$3+$T$6*$T$2/('4. Boost Inductor'!$B$11*$T$3^2)*($T$5-0.5))</f>
        <v>0.16903313049357674</v>
      </c>
      <c r="AD144" s="10" t="str">
        <f t="shared" si="40"/>
        <v>0.00404387869448522-0.00351177414328052i</v>
      </c>
      <c r="AE144" s="10" t="str">
        <f t="shared" si="41"/>
        <v>0.967852034842311-0.370725904153208i</v>
      </c>
      <c r="AF144" s="10" t="str">
        <f t="shared" si="46"/>
        <v>0.0883019127337208-0.165586488701136i</v>
      </c>
      <c r="AG144" s="10">
        <f t="shared" si="36"/>
        <v>0.1876595668565956</v>
      </c>
      <c r="AH144" s="10">
        <f t="shared" si="37"/>
        <v>-1.0808901628372098</v>
      </c>
      <c r="AI144" s="10">
        <f t="shared" si="38"/>
        <v>-61.930444447780417</v>
      </c>
      <c r="AJ144" s="10">
        <f t="shared" si="39"/>
        <v>-14.532585808378439</v>
      </c>
      <c r="AL144" s="10" t="str">
        <f t="shared" si="42"/>
        <v>0.0324332248025334-0.000581112084014913i</v>
      </c>
      <c r="AM144" s="10" t="str">
        <f t="shared" si="43"/>
        <v>0.452094150253186-0.494852151009283i</v>
      </c>
      <c r="AN144" s="10" t="str">
        <f t="shared" si="47"/>
        <v>-1.03958611484879+1.1796695641809i</v>
      </c>
      <c r="AO144" s="10">
        <f t="shared" si="48"/>
        <v>1.5723738648429502</v>
      </c>
      <c r="AP144" s="10">
        <f t="shared" si="49"/>
        <v>2.2931563074547063</v>
      </c>
      <c r="AQ144" s="10">
        <f t="shared" si="50"/>
        <v>131.38817818095887</v>
      </c>
      <c r="AR144" s="10">
        <f t="shared" si="51"/>
        <v>3.93111633195086</v>
      </c>
      <c r="AS144" s="10">
        <f t="shared" si="52"/>
        <v>-10.601469476427578</v>
      </c>
      <c r="AT144" s="10">
        <f t="shared" si="53"/>
        <v>69.457733733178458</v>
      </c>
    </row>
    <row r="145" spans="25:46" x14ac:dyDescent="0.25">
      <c r="Y145" s="10">
        <v>143</v>
      </c>
      <c r="Z145" s="10">
        <f t="shared" si="44"/>
        <v>19498.445997580417</v>
      </c>
      <c r="AA145" s="10" t="str">
        <f t="shared" si="45"/>
        <v>122512.349404832i</v>
      </c>
      <c r="AC145" s="10">
        <f>1/(2*$T$3+$T$6*$T$2/('4. Boost Inductor'!$B$11*$T$3^2)*($T$5-0.5))</f>
        <v>0.16903313049357674</v>
      </c>
      <c r="AD145" s="10" t="str">
        <f t="shared" si="40"/>
        <v>0.00404228090147233-0.00327738358047843i</v>
      </c>
      <c r="AE145" s="10" t="str">
        <f t="shared" si="41"/>
        <v>0.963127197957091-0.396815890166634i</v>
      </c>
      <c r="AF145" s="10" t="str">
        <f t="shared" si="46"/>
        <v>0.087650872044809-0.160939099348144i</v>
      </c>
      <c r="AG145" s="10">
        <f t="shared" si="36"/>
        <v>0.18325956746977015</v>
      </c>
      <c r="AH145" s="10">
        <f t="shared" si="37"/>
        <v>-1.072091962357933</v>
      </c>
      <c r="AI145" s="10">
        <f t="shared" si="38"/>
        <v>-61.426344693007884</v>
      </c>
      <c r="AJ145" s="10">
        <f t="shared" si="39"/>
        <v>-14.738666855879989</v>
      </c>
      <c r="AL145" s="10" t="str">
        <f t="shared" si="42"/>
        <v>0.0324331797674469-0.000542325376894379i</v>
      </c>
      <c r="AM145" s="10" t="str">
        <f t="shared" si="43"/>
        <v>0.418377487775236-0.490242245763904i</v>
      </c>
      <c r="AN145" s="10" t="str">
        <f t="shared" si="47"/>
        <v>-0.96207151378649+1.1662650242055i</v>
      </c>
      <c r="AO145" s="10">
        <f t="shared" si="48"/>
        <v>1.5118715898926349</v>
      </c>
      <c r="AP145" s="10">
        <f t="shared" si="49"/>
        <v>2.2605468141456901</v>
      </c>
      <c r="AQ145" s="10">
        <f t="shared" si="50"/>
        <v>129.51979184229214</v>
      </c>
      <c r="AR145" s="10">
        <f t="shared" si="51"/>
        <v>3.5902981226517934</v>
      </c>
      <c r="AS145" s="10">
        <f t="shared" si="52"/>
        <v>-11.148368733228196</v>
      </c>
      <c r="AT145" s="10">
        <f t="shared" si="53"/>
        <v>68.093447149284259</v>
      </c>
    </row>
    <row r="146" spans="25:46" x14ac:dyDescent="0.25">
      <c r="Y146" s="10">
        <v>144</v>
      </c>
      <c r="Z146" s="10">
        <f t="shared" si="44"/>
        <v>20892.961308540387</v>
      </c>
      <c r="AA146" s="10" t="str">
        <f t="shared" si="45"/>
        <v>131274.347517293i</v>
      </c>
      <c r="AC146" s="10">
        <f>1/(2*$T$3+$T$6*$T$2/('4. Boost Inductor'!$B$11*$T$3^2)*($T$5-0.5))</f>
        <v>0.16903313049357674</v>
      </c>
      <c r="AD146" s="10" t="str">
        <f t="shared" si="40"/>
        <v>0.0040408892777568-0.00305863659558387i</v>
      </c>
      <c r="AE146" s="10" t="str">
        <f t="shared" si="41"/>
        <v>0.957714342853752-0.424675313598195i</v>
      </c>
      <c r="AF146" s="10" t="str">
        <f t="shared" si="46"/>
        <v>0.0869198838329659-0.157044153428499i</v>
      </c>
      <c r="AG146" s="10">
        <f t="shared" si="36"/>
        <v>0.17949354398309211</v>
      </c>
      <c r="AH146" s="10">
        <f t="shared" si="37"/>
        <v>-1.0652897137742334</v>
      </c>
      <c r="AI146" s="10">
        <f t="shared" si="38"/>
        <v>-61.036604557963059</v>
      </c>
      <c r="AJ146" s="10">
        <f t="shared" si="39"/>
        <v>-14.919023349840401</v>
      </c>
      <c r="AL146" s="10" t="str">
        <f t="shared" si="42"/>
        <v>0.0324331405435229-0.00050612751093579i</v>
      </c>
      <c r="AM146" s="10" t="str">
        <f t="shared" si="43"/>
        <v>0.38543900151324-0.483431027267208i</v>
      </c>
      <c r="AN146" s="10" t="str">
        <f t="shared" si="47"/>
        <v>-0.886346285016824+1.14798722066516i</v>
      </c>
      <c r="AO146" s="10">
        <f t="shared" si="48"/>
        <v>1.4503394070953335</v>
      </c>
      <c r="AP146" s="10">
        <f t="shared" si="49"/>
        <v>2.2282840630619596</v>
      </c>
      <c r="AQ146" s="10">
        <f t="shared" si="50"/>
        <v>127.67127236971326</v>
      </c>
      <c r="AR146" s="10">
        <f t="shared" si="51"/>
        <v>3.2293929464893276</v>
      </c>
      <c r="AS146" s="10">
        <f t="shared" si="52"/>
        <v>-11.689630403351075</v>
      </c>
      <c r="AT146" s="10">
        <f t="shared" si="53"/>
        <v>66.634667811750205</v>
      </c>
    </row>
    <row r="147" spans="25:46" x14ac:dyDescent="0.25">
      <c r="Y147" s="10">
        <v>145</v>
      </c>
      <c r="Z147" s="10">
        <f t="shared" si="44"/>
        <v>22387.211385683382</v>
      </c>
      <c r="AA147" s="10" t="str">
        <f t="shared" si="45"/>
        <v>140662.997647249i</v>
      </c>
      <c r="AC147" s="10">
        <f>1/(2*$T$3+$T$6*$T$2/('4. Boost Inductor'!$B$11*$T$3^2)*($T$5-0.5))</f>
        <v>0.16903313049357674</v>
      </c>
      <c r="AD147" s="10" t="str">
        <f t="shared" si="40"/>
        <v>0.00403967722100104-0.00285448923123986i</v>
      </c>
      <c r="AE147" s="10" t="str">
        <f t="shared" si="41"/>
        <v>0.951515294829072-0.454408971250602i</v>
      </c>
      <c r="AF147" s="10" t="str">
        <f t="shared" si="46"/>
        <v>0.0860956439128284-0.153879504145679i</v>
      </c>
      <c r="AG147" s="10">
        <f t="shared" si="36"/>
        <v>0.17632742752301636</v>
      </c>
      <c r="AH147" s="10">
        <f t="shared" si="37"/>
        <v>-1.0606884157801155</v>
      </c>
      <c r="AI147" s="10">
        <f t="shared" si="38"/>
        <v>-60.772969602618083</v>
      </c>
      <c r="AJ147" s="10">
        <f t="shared" si="39"/>
        <v>-15.073602569052596</v>
      </c>
      <c r="AL147" s="10" t="str">
        <f t="shared" si="42"/>
        <v>0.0324331063809105-0.000472345693009969i</v>
      </c>
      <c r="AM147" s="10" t="str">
        <f t="shared" si="43"/>
        <v>0.353553363697756-0.474572102856947i</v>
      </c>
      <c r="AN147" s="10" t="str">
        <f t="shared" si="47"/>
        <v>-0.813041819136718+1.12517677771692i</v>
      </c>
      <c r="AO147" s="10">
        <f t="shared" si="48"/>
        <v>1.3881857875581982</v>
      </c>
      <c r="AP147" s="10">
        <f t="shared" si="49"/>
        <v>2.196523222153651</v>
      </c>
      <c r="AQ147" s="10">
        <f t="shared" si="50"/>
        <v>125.85151023188074</v>
      </c>
      <c r="AR147" s="10">
        <f t="shared" si="51"/>
        <v>2.8489518744193671</v>
      </c>
      <c r="AS147" s="10">
        <f t="shared" si="52"/>
        <v>-12.22465069463323</v>
      </c>
      <c r="AT147" s="10">
        <f t="shared" si="53"/>
        <v>65.078540629262648</v>
      </c>
    </row>
    <row r="148" spans="25:46" x14ac:dyDescent="0.25">
      <c r="Y148" s="10">
        <v>146</v>
      </c>
      <c r="Z148" s="10">
        <f t="shared" si="44"/>
        <v>23988.32919019488</v>
      </c>
      <c r="AA148" s="10" t="str">
        <f t="shared" si="45"/>
        <v>150723.11751162i</v>
      </c>
      <c r="AC148" s="10">
        <f>1/(2*$T$3+$T$6*$T$2/('4. Boost Inductor'!$B$11*$T$3^2)*($T$5-0.5))</f>
        <v>0.16903313049357674</v>
      </c>
      <c r="AD148" s="10" t="str">
        <f t="shared" si="40"/>
        <v>0.00403862156129417-0.00266396717527973i</v>
      </c>
      <c r="AE148" s="10" t="str">
        <f t="shared" si="41"/>
        <v>0.944418501755671-0.486124335964801i</v>
      </c>
      <c r="AF148" s="10" t="str">
        <f t="shared" si="46"/>
        <v>0.0851632741704092-0.151425696859406i</v>
      </c>
      <c r="AG148" s="10">
        <f t="shared" si="36"/>
        <v>0.17373118584980937</v>
      </c>
      <c r="AH148" s="10">
        <f t="shared" si="37"/>
        <v>-1.0584754979512605</v>
      </c>
      <c r="AI148" s="10">
        <f t="shared" si="38"/>
        <v>-60.646178750615441</v>
      </c>
      <c r="AJ148" s="10">
        <f t="shared" si="39"/>
        <v>-15.202444318817367</v>
      </c>
      <c r="AL148" s="10" t="str">
        <f t="shared" si="42"/>
        <v>0.0324330766265172-0.000440818663020441i</v>
      </c>
      <c r="AM148" s="10" t="str">
        <f t="shared" si="43"/>
        <v>0.322958730152438-0.463857590344102i</v>
      </c>
      <c r="AN148" s="10" t="str">
        <f t="shared" si="47"/>
        <v>-0.742705566061622+1.09826368595876i</v>
      </c>
      <c r="AO148" s="10">
        <f t="shared" si="48"/>
        <v>1.3258184950266143</v>
      </c>
      <c r="AP148" s="10">
        <f t="shared" si="49"/>
        <v>2.1654072002823614</v>
      </c>
      <c r="AQ148" s="10">
        <f t="shared" si="50"/>
        <v>124.06869350341907</v>
      </c>
      <c r="AR148" s="10">
        <f t="shared" si="51"/>
        <v>2.4496814617095199</v>
      </c>
      <c r="AS148" s="10">
        <f t="shared" si="52"/>
        <v>-12.752762857107847</v>
      </c>
      <c r="AT148" s="10">
        <f t="shared" si="53"/>
        <v>63.422514752803629</v>
      </c>
    </row>
    <row r="149" spans="25:46" x14ac:dyDescent="0.25">
      <c r="Y149" s="10">
        <v>147</v>
      </c>
      <c r="Z149" s="10">
        <f t="shared" si="44"/>
        <v>25703.957827688606</v>
      </c>
      <c r="AA149" s="10" t="str">
        <f t="shared" si="45"/>
        <v>161502.730159297i</v>
      </c>
      <c r="AC149" s="10">
        <f>1/(2*$T$3+$T$6*$T$2/('4. Boost Inductor'!$B$11*$T$3^2)*($T$5-0.5))</f>
        <v>0.16903313049357674</v>
      </c>
      <c r="AD149" s="10" t="str">
        <f t="shared" si="40"/>
        <v>0.00403770211830275-0.00248616111866237i</v>
      </c>
      <c r="AE149" s="10" t="str">
        <f t="shared" si="41"/>
        <v>0.936297409468697-0.519930714523373i</v>
      </c>
      <c r="AF149" s="10" t="str">
        <f t="shared" si="46"/>
        <v>0.0841061023234206-0.14966570528489i</v>
      </c>
      <c r="AG149" s="10">
        <f t="shared" si="36"/>
        <v>0.17167894392283886</v>
      </c>
      <c r="AH149" s="10">
        <f t="shared" si="37"/>
        <v>-1.0588173588592438</v>
      </c>
      <c r="AI149" s="10">
        <f t="shared" si="38"/>
        <v>-60.665765937823394</v>
      </c>
      <c r="AJ149" s="10">
        <f t="shared" si="39"/>
        <v>-15.305659338351649</v>
      </c>
      <c r="AL149" s="10" t="str">
        <f t="shared" si="42"/>
        <v>0.0324330507115223-0.000411395924154098i</v>
      </c>
      <c r="AM149" s="10" t="str">
        <f t="shared" si="43"/>
        <v>0.293850959172397-0.45150846677132i</v>
      </c>
      <c r="AN149" s="10" t="str">
        <f t="shared" si="47"/>
        <v>-0.675787743883153+1.06774505945659i</v>
      </c>
      <c r="AO149" s="10">
        <f t="shared" si="48"/>
        <v>1.2636330902507416</v>
      </c>
      <c r="AP149" s="10">
        <f t="shared" si="49"/>
        <v>2.1350643361553114</v>
      </c>
      <c r="AQ149" s="10">
        <f t="shared" si="50"/>
        <v>122.33017545060019</v>
      </c>
      <c r="AR149" s="10">
        <f t="shared" si="51"/>
        <v>2.0324198015336665</v>
      </c>
      <c r="AS149" s="10">
        <f t="shared" si="52"/>
        <v>-13.273239536817982</v>
      </c>
      <c r="AT149" s="10">
        <f t="shared" si="53"/>
        <v>61.6644095127768</v>
      </c>
    </row>
    <row r="150" spans="25:46" x14ac:dyDescent="0.25">
      <c r="Y150" s="10">
        <v>148</v>
      </c>
      <c r="Z150" s="10">
        <f t="shared" si="44"/>
        <v>27542.287033381672</v>
      </c>
      <c r="AA150" s="10" t="str">
        <f t="shared" si="45"/>
        <v>173053.293214267i</v>
      </c>
      <c r="AC150" s="10">
        <f>1/(2*$T$3+$T$6*$T$2/('4. Boost Inductor'!$B$11*$T$3^2)*($T$5-0.5))</f>
        <v>0.16903313049357674</v>
      </c>
      <c r="AD150" s="10" t="str">
        <f t="shared" si="40"/>
        <v>0.00403690131555102-0.00232022242203754i</v>
      </c>
      <c r="AE150" s="10" t="str">
        <f t="shared" si="41"/>
        <v>0.927008703072547-0.555938137461072i</v>
      </c>
      <c r="AF150" s="10" t="str">
        <f t="shared" si="46"/>
        <v>0.0829054266787641-0.148584644245248i</v>
      </c>
      <c r="AG150" s="10">
        <f t="shared" si="36"/>
        <v>0.17014907075348618</v>
      </c>
      <c r="AH150" s="10">
        <f t="shared" si="37"/>
        <v>-1.0618564959853301</v>
      </c>
      <c r="AI150" s="10">
        <f t="shared" si="38"/>
        <v>-60.839895668509655</v>
      </c>
      <c r="AJ150" s="10">
        <f t="shared" si="39"/>
        <v>-15.383408368064615</v>
      </c>
      <c r="AL150" s="10" t="str">
        <f t="shared" si="42"/>
        <v>0.0324330281405044-0.000383937024503496i</v>
      </c>
      <c r="AM150" s="10" t="str">
        <f t="shared" si="43"/>
        <v>0.266380581837484-0.437764301675764i</v>
      </c>
      <c r="AN150" s="10" t="str">
        <f t="shared" si="47"/>
        <v>-0.612634373125826+1.03416148152408i</v>
      </c>
      <c r="AO150" s="10">
        <f t="shared" si="48"/>
        <v>1.2020028473357931</v>
      </c>
      <c r="AP150" s="10">
        <f t="shared" si="49"/>
        <v>2.1056067829317744</v>
      </c>
      <c r="AQ150" s="10">
        <f t="shared" si="50"/>
        <v>120.64238197610955</v>
      </c>
      <c r="AR150" s="10">
        <f t="shared" si="51"/>
        <v>1.5981099287214098</v>
      </c>
      <c r="AS150" s="10">
        <f t="shared" si="52"/>
        <v>-13.785298439343205</v>
      </c>
      <c r="AT150" s="10">
        <f t="shared" si="53"/>
        <v>59.802486307599892</v>
      </c>
    </row>
    <row r="151" spans="25:46" x14ac:dyDescent="0.25">
      <c r="Y151" s="10">
        <v>149</v>
      </c>
      <c r="Z151" s="10">
        <f t="shared" si="44"/>
        <v>29512.092266663854</v>
      </c>
      <c r="AA151" s="10" t="str">
        <f t="shared" si="45"/>
        <v>185429.944514031i</v>
      </c>
      <c r="AC151" s="10">
        <f>1/(2*$T$3+$T$6*$T$2/('4. Boost Inductor'!$B$11*$T$3^2)*($T$5-0.5))</f>
        <v>0.16903313049357674</v>
      </c>
      <c r="AD151" s="10" t="str">
        <f t="shared" si="40"/>
        <v>0.00403620384446228-0.00216535907056798i</v>
      </c>
      <c r="AE151" s="10" t="str">
        <f t="shared" si="41"/>
        <v>0.916390424749078-0.594255925379837i</v>
      </c>
      <c r="AF151" s="10" t="str">
        <f t="shared" si="46"/>
        <v>0.0815402669756813-0.148169451285485i</v>
      </c>
      <c r="AG151" s="10">
        <f t="shared" si="36"/>
        <v>0.16912421894189814</v>
      </c>
      <c r="AH151" s="10">
        <f t="shared" si="37"/>
        <v>-1.0677092572134823</v>
      </c>
      <c r="AI151" s="10">
        <f t="shared" si="38"/>
        <v>-61.175234185380589</v>
      </c>
      <c r="AJ151" s="10">
        <f t="shared" si="39"/>
        <v>-15.435883921412735</v>
      </c>
      <c r="AL151" s="10" t="str">
        <f t="shared" si="42"/>
        <v>0.0324330084819686-0.000358310886633066i</v>
      </c>
      <c r="AM151" s="10" t="str">
        <f t="shared" si="43"/>
        <v>0.240652413517634-0.422873180419205i</v>
      </c>
      <c r="AN151" s="10" t="str">
        <f t="shared" si="47"/>
        <v>-0.553486382950058+0.998073790918115i</v>
      </c>
      <c r="AO151" s="10">
        <f t="shared" si="48"/>
        <v>1.1412705499699864</v>
      </c>
      <c r="AP151" s="10">
        <f t="shared" si="49"/>
        <v>2.0771296028640158</v>
      </c>
      <c r="AQ151" s="10">
        <f t="shared" si="50"/>
        <v>119.0107597457929</v>
      </c>
      <c r="AR151" s="10">
        <f t="shared" si="51"/>
        <v>1.1477722123054641</v>
      </c>
      <c r="AS151" s="10">
        <f t="shared" si="52"/>
        <v>-14.288111709107271</v>
      </c>
      <c r="AT151" s="10">
        <f t="shared" si="53"/>
        <v>57.835525560412307</v>
      </c>
    </row>
    <row r="152" spans="25:46" x14ac:dyDescent="0.25">
      <c r="Y152" s="10">
        <v>150</v>
      </c>
      <c r="Z152" s="10">
        <f t="shared" si="44"/>
        <v>31622.776601683781</v>
      </c>
      <c r="AA152" s="10" t="str">
        <f t="shared" si="45"/>
        <v>198691.765315922i</v>
      </c>
      <c r="AC152" s="10">
        <f>1/(2*$T$3+$T$6*$T$2/('4. Boost Inductor'!$B$11*$T$3^2)*($T$5-0.5))</f>
        <v>0.16903313049357674</v>
      </c>
      <c r="AD152" s="10" t="str">
        <f t="shared" si="40"/>
        <v>0.00403559637174303-0.00202083189795177i</v>
      </c>
      <c r="AE152" s="10" t="str">
        <f t="shared" si="41"/>
        <v>0.904259988231675-0.634990868396792i</v>
      </c>
      <c r="AF152" s="10" t="str">
        <f t="shared" si="46"/>
        <v>0.0799871036462411-0.148408528493986i</v>
      </c>
      <c r="AG152" s="10">
        <f t="shared" si="36"/>
        <v>0.16859130487502841</v>
      </c>
      <c r="AH152" s="10">
        <f t="shared" si="37"/>
        <v>-1.0764642139230458</v>
      </c>
      <c r="AI152" s="10">
        <f t="shared" si="38"/>
        <v>-61.676856254658311</v>
      </c>
      <c r="AJ152" s="10">
        <f t="shared" si="39"/>
        <v>-15.463296558896131</v>
      </c>
      <c r="AL152" s="10" t="str">
        <f t="shared" si="42"/>
        <v>0.032432991360099-0.000334395181890081i</v>
      </c>
      <c r="AM152" s="10" t="str">
        <f t="shared" si="43"/>
        <v>0.216727468592-0.407082489425449i</v>
      </c>
      <c r="AN152" s="10" t="str">
        <f t="shared" si="47"/>
        <v>-0.498484012309127+0.96004185271374i</v>
      </c>
      <c r="AO152" s="10">
        <f t="shared" si="48"/>
        <v>1.08174242289458</v>
      </c>
      <c r="AP152" s="10">
        <f t="shared" si="49"/>
        <v>2.0497105346205711</v>
      </c>
      <c r="AQ152" s="10">
        <f t="shared" si="50"/>
        <v>117.43976285726232</v>
      </c>
      <c r="AR152" s="10">
        <f t="shared" si="51"/>
        <v>0.68247723698819684</v>
      </c>
      <c r="AS152" s="10">
        <f t="shared" si="52"/>
        <v>-14.780819321907934</v>
      </c>
      <c r="AT152" s="10">
        <f t="shared" si="53"/>
        <v>55.762906602604012</v>
      </c>
    </row>
    <row r="153" spans="25:46" x14ac:dyDescent="0.25">
      <c r="Y153" s="10">
        <v>151</v>
      </c>
      <c r="Z153" s="10">
        <f t="shared" si="44"/>
        <v>33884.415613920231</v>
      </c>
      <c r="AA153" s="10" t="str">
        <f t="shared" si="45"/>
        <v>212902.06232775i</v>
      </c>
      <c r="AC153" s="10">
        <f>1/(2*$T$3+$T$6*$T$2/('4. Boost Inductor'!$B$11*$T$3^2)*($T$5-0.5))</f>
        <v>0.16903313049357674</v>
      </c>
      <c r="AD153" s="10" t="str">
        <f t="shared" si="40"/>
        <v>0.00403506728451888-0.00188595106182648i</v>
      </c>
      <c r="AE153" s="10" t="str">
        <f t="shared" si="41"/>
        <v>0.890412122884012-0.678244947411272i</v>
      </c>
      <c r="AF153" s="10" t="str">
        <f t="shared" si="46"/>
        <v>0.0782196094671923-0.149291334915677i</v>
      </c>
      <c r="AG153" s="10">
        <f t="shared" si="36"/>
        <v>0.1685414192004592</v>
      </c>
      <c r="AH153" s="10">
        <f t="shared" si="37"/>
        <v>-1.0881811393185092</v>
      </c>
      <c r="AI153" s="10">
        <f t="shared" si="38"/>
        <v>-62.348186628688026</v>
      </c>
      <c r="AJ153" s="10">
        <f t="shared" si="39"/>
        <v>-15.465867068585922</v>
      </c>
      <c r="AL153" s="10" t="str">
        <f t="shared" si="42"/>
        <v>0.0324329764475735-0.000312075746474546i</v>
      </c>
      <c r="AM153" s="10" t="str">
        <f t="shared" si="43"/>
        <v>0.194626690573314-0.39063104719991i</v>
      </c>
      <c r="AN153" s="10" t="str">
        <f t="shared" si="47"/>
        <v>-0.447675384623952+0.920606426023851i</v>
      </c>
      <c r="AO153" s="10">
        <f t="shared" si="48"/>
        <v>1.0236842489921449</v>
      </c>
      <c r="AP153" s="10">
        <f t="shared" si="49"/>
        <v>2.0234103556106291</v>
      </c>
      <c r="AQ153" s="10">
        <f t="shared" si="50"/>
        <v>115.9328735995541</v>
      </c>
      <c r="AR153" s="10">
        <f t="shared" si="51"/>
        <v>0.20332042055784211</v>
      </c>
      <c r="AS153" s="10">
        <f t="shared" si="52"/>
        <v>-15.26254664802808</v>
      </c>
      <c r="AT153" s="10">
        <f t="shared" si="53"/>
        <v>53.584686970866073</v>
      </c>
    </row>
    <row r="154" spans="25:46" x14ac:dyDescent="0.25">
      <c r="Y154" s="10">
        <v>152</v>
      </c>
      <c r="Z154" s="10">
        <f t="shared" si="44"/>
        <v>36307.805477010166</v>
      </c>
      <c r="AA154" s="10" t="str">
        <f t="shared" si="45"/>
        <v>228128.669909085i</v>
      </c>
      <c r="AC154" s="10">
        <f>1/(2*$T$3+$T$6*$T$2/('4. Boost Inductor'!$B$11*$T$3^2)*($T$5-0.5))</f>
        <v>0.16903313049357674</v>
      </c>
      <c r="AD154" s="10" t="str">
        <f t="shared" si="40"/>
        <v>0.00403460646835272-0.00176007275389779i</v>
      </c>
      <c r="AE154" s="10" t="str">
        <f t="shared" si="41"/>
        <v>0.874616796979148-0.724112518576246i</v>
      </c>
      <c r="AF154" s="10" t="str">
        <f t="shared" si="46"/>
        <v>0.0762083797065467-0.150807919057717i</v>
      </c>
      <c r="AG154" s="10">
        <f t="shared" si="36"/>
        <v>0.1689696587793682</v>
      </c>
      <c r="AH154" s="10">
        <f t="shared" si="37"/>
        <v>-1.1028905719269151</v>
      </c>
      <c r="AI154" s="10">
        <f t="shared" si="38"/>
        <v>-63.190975036181783</v>
      </c>
      <c r="AJ154" s="10">
        <f t="shared" si="39"/>
        <v>-15.443825458933294</v>
      </c>
      <c r="AL154" s="10" t="str">
        <f t="shared" si="42"/>
        <v>0.0324329634593064-0.000291246036481381i</v>
      </c>
      <c r="AM154" s="10" t="str">
        <f t="shared" si="43"/>
        <v>0.174335943137939-0.373742859699836i</v>
      </c>
      <c r="AN154" s="10" t="str">
        <f t="shared" si="47"/>
        <v>-0.401027981225051+0.880274768763954i</v>
      </c>
      <c r="AO154" s="10">
        <f t="shared" si="48"/>
        <v>0.96731954919141006</v>
      </c>
      <c r="AP154" s="10">
        <f t="shared" si="49"/>
        <v>1.9982737351570099</v>
      </c>
      <c r="AQ154" s="10">
        <f t="shared" si="50"/>
        <v>114.49265133633951</v>
      </c>
      <c r="AR154" s="10">
        <f t="shared" si="51"/>
        <v>-0.28860070395285531</v>
      </c>
      <c r="AS154" s="10">
        <f t="shared" si="52"/>
        <v>-15.732426162886149</v>
      </c>
      <c r="AT154" s="10">
        <f t="shared" si="53"/>
        <v>51.301676300157723</v>
      </c>
    </row>
    <row r="155" spans="25:46" x14ac:dyDescent="0.25">
      <c r="Y155" s="10">
        <v>153</v>
      </c>
      <c r="Z155" s="10">
        <f t="shared" si="44"/>
        <v>38904.514499428085</v>
      </c>
      <c r="AA155" s="10" t="str">
        <f t="shared" si="45"/>
        <v>244444.273885762i</v>
      </c>
      <c r="AC155" s="10">
        <f>1/(2*$T$3+$T$6*$T$2/('4. Boost Inductor'!$B$11*$T$3^2)*($T$5-0.5))</f>
        <v>0.16903313049357674</v>
      </c>
      <c r="AD155" s="10" t="str">
        <f t="shared" si="40"/>
        <v>0.00403420511390291-0.00164259612922436i</v>
      </c>
      <c r="AE155" s="10" t="str">
        <f t="shared" si="41"/>
        <v>0.856617191037013-0.772676876614417i</v>
      </c>
      <c r="AF155" s="10" t="str">
        <f t="shared" si="46"/>
        <v>0.0739206695764251-0.15294838029942i</v>
      </c>
      <c r="AG155" s="10">
        <f t="shared" si="36"/>
        <v>0.16987487285305919</v>
      </c>
      <c r="AH155" s="10">
        <f t="shared" si="37"/>
        <v>-1.1205939496255475</v>
      </c>
      <c r="AI155" s="10">
        <f t="shared" si="38"/>
        <v>-64.205303861439447</v>
      </c>
      <c r="AJ155" s="10">
        <f t="shared" si="39"/>
        <v>-15.397417106349891</v>
      </c>
      <c r="AL155" s="10" t="str">
        <f t="shared" si="42"/>
        <v>0.0324329521469984-0.000271806619314153i</v>
      </c>
      <c r="AM155" s="10" t="str">
        <f t="shared" si="43"/>
        <v>0.155811714456005-0.356622587297057i</v>
      </c>
      <c r="AN155" s="10" t="str">
        <f t="shared" si="47"/>
        <v>-0.358441754660755+0.839510179834456i</v>
      </c>
      <c r="AO155" s="10">
        <f t="shared" si="48"/>
        <v>0.91282957529319875</v>
      </c>
      <c r="AP155" s="10">
        <f t="shared" si="49"/>
        <v>1.9743304618191797</v>
      </c>
      <c r="AQ155" s="10">
        <f t="shared" si="50"/>
        <v>113.12080282635372</v>
      </c>
      <c r="AR155" s="10">
        <f t="shared" si="51"/>
        <v>-0.79220594807732869</v>
      </c>
      <c r="AS155" s="10">
        <f t="shared" si="52"/>
        <v>-16.189623054427219</v>
      </c>
      <c r="AT155" s="10">
        <f t="shared" si="53"/>
        <v>48.915498964914278</v>
      </c>
    </row>
    <row r="156" spans="25:46" x14ac:dyDescent="0.25">
      <c r="Y156" s="10">
        <v>154</v>
      </c>
      <c r="Z156" s="10">
        <f t="shared" si="44"/>
        <v>41686.93834703348</v>
      </c>
      <c r="AA156" s="10" t="str">
        <f t="shared" si="45"/>
        <v>261926.758523382i</v>
      </c>
      <c r="AC156" s="10">
        <f>1/(2*$T$3+$T$6*$T$2/('4. Boost Inductor'!$B$11*$T$3^2)*($T$5-0.5))</f>
        <v>0.16903313049357674</v>
      </c>
      <c r="AD156" s="10" t="str">
        <f t="shared" si="40"/>
        <v>0.00403385554852689-0.0015329604401114i</v>
      </c>
      <c r="AE156" s="10" t="str">
        <f t="shared" si="41"/>
        <v>0.83612781863296-0.82400610973109i</v>
      </c>
      <c r="AF156" s="10" t="str">
        <f t="shared" si="46"/>
        <v>0.0713201511779039-0.155702247687619i</v>
      </c>
      <c r="AG156" s="10">
        <f t="shared" si="36"/>
        <v>0.1712593176998429</v>
      </c>
      <c r="AH156" s="10">
        <f t="shared" si="37"/>
        <v>-1.1412643086555145</v>
      </c>
      <c r="AI156" s="10">
        <f t="shared" si="38"/>
        <v>-65.389628194876693</v>
      </c>
      <c r="AJ156" s="10">
        <f t="shared" si="39"/>
        <v>-15.326915810954063</v>
      </c>
      <c r="AL156" s="10" t="str">
        <f t="shared" si="42"/>
        <v>0.03243294229439-0.000253664699043059i</v>
      </c>
      <c r="AM156" s="10" t="str">
        <f t="shared" si="43"/>
        <v>0.138987048953679-0.339452654483024i</v>
      </c>
      <c r="AN156" s="10" t="str">
        <f t="shared" si="47"/>
        <v>-0.319762764900759+0.798725320264794i</v>
      </c>
      <c r="AO156" s="10">
        <f t="shared" si="48"/>
        <v>0.86035478905453633</v>
      </c>
      <c r="AP156" s="10">
        <f t="shared" si="49"/>
        <v>1.9515969277739273</v>
      </c>
      <c r="AQ156" s="10">
        <f t="shared" si="50"/>
        <v>111.81826727214379</v>
      </c>
      <c r="AR156" s="10">
        <f t="shared" si="51"/>
        <v>-1.3064483901458375</v>
      </c>
      <c r="AS156" s="10">
        <f t="shared" si="52"/>
        <v>-16.633364201099901</v>
      </c>
      <c r="AT156" s="10">
        <f t="shared" si="53"/>
        <v>46.428639077267093</v>
      </c>
    </row>
    <row r="157" spans="25:46" x14ac:dyDescent="0.25">
      <c r="Y157" s="10">
        <v>155</v>
      </c>
      <c r="Z157" s="10">
        <f t="shared" si="44"/>
        <v>44668.359215096309</v>
      </c>
      <c r="AA157" s="10" t="str">
        <f t="shared" si="45"/>
        <v>280659.578316113i</v>
      </c>
      <c r="AC157" s="10">
        <f>1/(2*$T$3+$T$6*$T$2/('4. Boost Inductor'!$B$11*$T$3^2)*($T$5-0.5))</f>
        <v>0.16903313049357674</v>
      </c>
      <c r="AD157" s="10" t="str">
        <f t="shared" si="40"/>
        <v>0.00403355108961214-0.00143064236102145i</v>
      </c>
      <c r="AE157" s="10" t="str">
        <f t="shared" si="41"/>
        <v>0.812832924478264-0.878148160624486i</v>
      </c>
      <c r="AF157" s="10" t="str">
        <f t="shared" si="46"/>
        <v>0.0683667062325716-0.159057764851905i</v>
      </c>
      <c r="AG157" s="10">
        <f t="shared" si="36"/>
        <v>0.1731282157268845</v>
      </c>
      <c r="AH157" s="10">
        <f t="shared" si="37"/>
        <v>-1.1648475486055963</v>
      </c>
      <c r="AI157" s="10">
        <f t="shared" si="38"/>
        <v>-66.740848311260677</v>
      </c>
      <c r="AJ157" s="10">
        <f t="shared" si="39"/>
        <v>-15.232642936439369</v>
      </c>
      <c r="AL157" s="10" t="str">
        <f t="shared" si="42"/>
        <v>0.0324329337131264-0.000236733673441878i</v>
      </c>
      <c r="AM157" s="10" t="str">
        <f t="shared" si="43"/>
        <v>0.123777315269581-0.32239182275403i</v>
      </c>
      <c r="AN157" s="10" t="str">
        <f t="shared" si="47"/>
        <v>-0.284796439010201+0.758278900359547i</v>
      </c>
      <c r="AO157" s="10">
        <f t="shared" si="48"/>
        <v>0.80999747061541794</v>
      </c>
      <c r="AP157" s="10">
        <f t="shared" si="49"/>
        <v>1.9300777620590717</v>
      </c>
      <c r="AQ157" s="10">
        <f t="shared" si="50"/>
        <v>110.58530989803994</v>
      </c>
      <c r="AR157" s="10">
        <f t="shared" si="51"/>
        <v>-1.8303267458709984</v>
      </c>
      <c r="AS157" s="10">
        <f t="shared" si="52"/>
        <v>-17.062969682310367</v>
      </c>
      <c r="AT157" s="10">
        <f t="shared" si="53"/>
        <v>43.844461586779261</v>
      </c>
    </row>
    <row r="158" spans="25:46" x14ac:dyDescent="0.25">
      <c r="Y158" s="10">
        <v>156</v>
      </c>
      <c r="Z158" s="10">
        <f t="shared" si="44"/>
        <v>47863.009232263823</v>
      </c>
      <c r="AA158" s="10" t="str">
        <f t="shared" si="45"/>
        <v>300732.156365561i</v>
      </c>
      <c r="AC158" s="10">
        <f>1/(2*$T$3+$T$6*$T$2/('4. Boost Inductor'!$B$11*$T$3^2)*($T$5-0.5))</f>
        <v>0.16903313049357674</v>
      </c>
      <c r="AD158" s="10" t="str">
        <f t="shared" si="40"/>
        <v>0.00403328591683109-0.00133515349180574i</v>
      </c>
      <c r="AE158" s="10" t="str">
        <f t="shared" si="41"/>
        <v>0.786385328020106-0.935125016825411i</v>
      </c>
      <c r="AF158" s="10" t="str">
        <f t="shared" si="46"/>
        <v>0.0650162757679764-0.163001070907681i</v>
      </c>
      <c r="AG158" s="10">
        <f t="shared" si="36"/>
        <v>0.17548921685331101</v>
      </c>
      <c r="AH158" s="10">
        <f t="shared" si="37"/>
        <v>-1.1912642626473409</v>
      </c>
      <c r="AI158" s="10">
        <f t="shared" si="38"/>
        <v>-68.254414534456629</v>
      </c>
      <c r="AJ158" s="10">
        <f t="shared" si="39"/>
        <v>-15.114991282536339</v>
      </c>
      <c r="AL158" s="10" t="str">
        <f t="shared" si="42"/>
        <v>0.0324329262391582-0.000220932720589697i</v>
      </c>
      <c r="AM158" s="10" t="str">
        <f t="shared" si="43"/>
        <v>0.110085526322699-0.30557498238775i</v>
      </c>
      <c r="AN158" s="10" t="str">
        <f t="shared" si="47"/>
        <v>-0.253319801210065+0.718475171097186i</v>
      </c>
      <c r="AO158" s="10">
        <f t="shared" si="48"/>
        <v>0.76182510668016024</v>
      </c>
      <c r="AP158" s="10">
        <f t="shared" si="49"/>
        <v>1.9097675194551762</v>
      </c>
      <c r="AQ158" s="10">
        <f t="shared" si="50"/>
        <v>109.42161871594993</v>
      </c>
      <c r="AR158" s="10">
        <f t="shared" si="51"/>
        <v>-2.3628943769254556</v>
      </c>
      <c r="AS158" s="10">
        <f t="shared" si="52"/>
        <v>-17.477885659461794</v>
      </c>
      <c r="AT158" s="10">
        <f t="shared" si="53"/>
        <v>41.167204181493304</v>
      </c>
    </row>
    <row r="159" spans="25:46" x14ac:dyDescent="0.25">
      <c r="Y159" s="10">
        <v>157</v>
      </c>
      <c r="Z159" s="10">
        <f t="shared" si="44"/>
        <v>51286.138399136456</v>
      </c>
      <c r="AA159" s="10" t="str">
        <f t="shared" si="45"/>
        <v>322240.311251433i</v>
      </c>
      <c r="AC159" s="10">
        <f>1/(2*$T$3+$T$6*$T$2/('4. Boost Inductor'!$B$11*$T$3^2)*($T$5-0.5))</f>
        <v>0.16903313049357674</v>
      </c>
      <c r="AD159" s="10" t="str">
        <f t="shared" si="40"/>
        <v>0.0040330549608787-0.00124603802739706i</v>
      </c>
      <c r="AE159" s="10" t="str">
        <f t="shared" si="41"/>
        <v>0.756405924978438-0.99492597228205i</v>
      </c>
      <c r="AF159" s="10" t="str">
        <f t="shared" si="46"/>
        <v>0.0612207935180495-0.16751526960415i</v>
      </c>
      <c r="AG159" s="10">
        <f t="shared" si="36"/>
        <v>0.17835176228322139</v>
      </c>
      <c r="AH159" s="10">
        <f t="shared" si="37"/>
        <v>-1.2204121184867971</v>
      </c>
      <c r="AI159" s="10">
        <f t="shared" si="38"/>
        <v>-69.924463655913229</v>
      </c>
      <c r="AJ159" s="10">
        <f t="shared" si="39"/>
        <v>-14.974451901326402</v>
      </c>
      <c r="AL159" s="10" t="str">
        <f t="shared" si="42"/>
        <v>0.0324329197296039-0.000206186413064287i</v>
      </c>
      <c r="AM159" s="10" t="str">
        <f t="shared" si="43"/>
        <v>0.0978070312119672-0.289113894085166i</v>
      </c>
      <c r="AN159" s="10" t="str">
        <f t="shared" si="47"/>
        <v>-0.225092258873013+0.679565601173974i</v>
      </c>
      <c r="AO159" s="10">
        <f t="shared" si="48"/>
        <v>0.71587424265963095</v>
      </c>
      <c r="AP159" s="10">
        <f t="shared" si="49"/>
        <v>1.8906523498083114</v>
      </c>
      <c r="AQ159" s="10">
        <f t="shared" si="50"/>
        <v>108.32640017050801</v>
      </c>
      <c r="AR159" s="10">
        <f t="shared" si="51"/>
        <v>-2.9032652665764336</v>
      </c>
      <c r="AS159" s="10">
        <f t="shared" si="52"/>
        <v>-17.877717167902837</v>
      </c>
      <c r="AT159" s="10">
        <f t="shared" si="53"/>
        <v>38.40193651459478</v>
      </c>
    </row>
    <row r="160" spans="25:46" x14ac:dyDescent="0.25">
      <c r="Y160" s="10">
        <v>158</v>
      </c>
      <c r="Z160" s="10">
        <f t="shared" si="44"/>
        <v>54954.08738576241</v>
      </c>
      <c r="AA160" s="10" t="str">
        <f t="shared" si="45"/>
        <v>345286.714431685i</v>
      </c>
      <c r="AC160" s="10">
        <f>1/(2*$T$3+$T$6*$T$2/('4. Boost Inductor'!$B$11*$T$3^2)*($T$5-0.5))</f>
        <v>0.16903313049357674</v>
      </c>
      <c r="AD160" s="10" t="str">
        <f t="shared" si="40"/>
        <v>0.00403285380656601-0.00116287058288851i</v>
      </c>
      <c r="AE160" s="10" t="str">
        <f t="shared" si="41"/>
        <v>0.722484107901427-1.05749993433156i</v>
      </c>
      <c r="AF160" s="10" t="str">
        <f t="shared" si="46"/>
        <v>0.0569282359598721-0.172579383072865i</v>
      </c>
      <c r="AG160" s="10">
        <f t="shared" si="36"/>
        <v>0.18172635337593046</v>
      </c>
      <c r="AH160" s="10">
        <f t="shared" si="37"/>
        <v>-1.252168748450196</v>
      </c>
      <c r="AI160" s="10">
        <f t="shared" si="38"/>
        <v>-71.743984524374667</v>
      </c>
      <c r="AJ160" s="10">
        <f t="shared" si="39"/>
        <v>-14.811641762497738</v>
      </c>
      <c r="AL160" s="10" t="str">
        <f t="shared" si="42"/>
        <v>0.032432914060019-0.000192424357885686i</v>
      </c>
      <c r="AM160" s="10" t="str">
        <f t="shared" si="43"/>
        <v>0.0868334887745699-0.273098617281534i</v>
      </c>
      <c r="AN160" s="10" t="str">
        <f t="shared" si="47"/>
        <v>-0.199864737151483+0.641752134496968i</v>
      </c>
      <c r="AO160" s="10">
        <f t="shared" si="48"/>
        <v>0.67215453229748134</v>
      </c>
      <c r="AP160" s="10">
        <f t="shared" si="49"/>
        <v>1.8727115912223533</v>
      </c>
      <c r="AQ160" s="10">
        <f t="shared" si="50"/>
        <v>107.29847042226952</v>
      </c>
      <c r="AR160" s="10">
        <f t="shared" si="51"/>
        <v>-3.4506173719979643</v>
      </c>
      <c r="AS160" s="10">
        <f t="shared" si="52"/>
        <v>-18.2622591344957</v>
      </c>
      <c r="AT160" s="10">
        <f t="shared" si="53"/>
        <v>35.55448589789485</v>
      </c>
    </row>
    <row r="161" spans="25:46" x14ac:dyDescent="0.25">
      <c r="Y161" s="10">
        <v>159</v>
      </c>
      <c r="Z161" s="10">
        <f t="shared" si="44"/>
        <v>58884.365535558936</v>
      </c>
      <c r="AA161" s="10" t="str">
        <f t="shared" si="45"/>
        <v>369981.380355616i</v>
      </c>
      <c r="AC161" s="10">
        <f>1/(2*$T$3+$T$6*$T$2/('4. Boost Inductor'!$B$11*$T$3^2)*($T$5-0.5))</f>
        <v>0.16903313049357674</v>
      </c>
      <c r="AD161" s="10" t="str">
        <f t="shared" si="40"/>
        <v>0.0040326786084175-0.00108525416365538i</v>
      </c>
      <c r="AE161" s="10" t="str">
        <f t="shared" si="41"/>
        <v>0.684179417432161-1.12274680006083i</v>
      </c>
      <c r="AF161" s="10" t="str">
        <f t="shared" si="46"/>
        <v>0.0520828283130985-0.178167192857677i</v>
      </c>
      <c r="AG161" s="10">
        <f t="shared" si="36"/>
        <v>0.18562373128422013</v>
      </c>
      <c r="AH161" s="10">
        <f t="shared" si="37"/>
        <v>-1.286395068993178</v>
      </c>
      <c r="AI161" s="10">
        <f t="shared" si="38"/>
        <v>-73.705008239749446</v>
      </c>
      <c r="AJ161" s="10">
        <f t="shared" si="39"/>
        <v>-14.627330033577781</v>
      </c>
      <c r="AL161" s="10" t="str">
        <f t="shared" si="42"/>
        <v>0.0324329091220171-0.000179580860491411i</v>
      </c>
      <c r="AM161" s="10" t="str">
        <f t="shared" si="43"/>
        <v>0.0770561038919772-0.257599388119379i</v>
      </c>
      <c r="AN161" s="10" t="str">
        <f t="shared" si="47"/>
        <v>-0.177387118759722+0.605191483145525i</v>
      </c>
      <c r="AO161" s="10">
        <f t="shared" si="48"/>
        <v>0.63065277385718044</v>
      </c>
      <c r="AP161" s="10">
        <f t="shared" si="49"/>
        <v>1.8559192480055586</v>
      </c>
      <c r="AQ161" s="10">
        <f t="shared" si="50"/>
        <v>106.33634002781203</v>
      </c>
      <c r="AR161" s="10">
        <f t="shared" si="51"/>
        <v>-4.0041937946302548</v>
      </c>
      <c r="AS161" s="10">
        <f t="shared" si="52"/>
        <v>-18.631523828208035</v>
      </c>
      <c r="AT161" s="10">
        <f t="shared" si="53"/>
        <v>32.631331788062582</v>
      </c>
    </row>
    <row r="162" spans="25:46" x14ac:dyDescent="0.25">
      <c r="Y162" s="10">
        <v>160</v>
      </c>
      <c r="Z162" s="10">
        <f t="shared" si="44"/>
        <v>63095.734448019342</v>
      </c>
      <c r="AA162" s="10" t="str">
        <f t="shared" si="45"/>
        <v>396442.1916295i</v>
      </c>
      <c r="AC162" s="10">
        <f>1/(2*$T$3+$T$6*$T$2/('4. Boost Inductor'!$B$11*$T$3^2)*($T$5-0.5))</f>
        <v>0.16903313049357674</v>
      </c>
      <c r="AD162" s="10" t="str">
        <f t="shared" si="40"/>
        <v>0.00403252601715889-0.00101281827086218i</v>
      </c>
      <c r="AE162" s="10" t="str">
        <f t="shared" si="41"/>
        <v>0.641024784169199-1.19050799784804i</v>
      </c>
      <c r="AF162" s="10" t="str">
        <f t="shared" si="46"/>
        <v>0.0466254519262309-0.184245980001353i</v>
      </c>
      <c r="AG162" s="10">
        <f t="shared" si="36"/>
        <v>0.19005397631721427</v>
      </c>
      <c r="AH162" s="10">
        <f t="shared" si="37"/>
        <v>-1.3229389060206174</v>
      </c>
      <c r="AI162" s="10">
        <f t="shared" si="38"/>
        <v>-75.798815868635629</v>
      </c>
      <c r="AJ162" s="10">
        <f t="shared" si="39"/>
        <v>-14.422460792771425</v>
      </c>
      <c r="AL162" s="10" t="str">
        <f t="shared" si="42"/>
        <v>0.032432904821197-0.000167594611139389i</v>
      </c>
      <c r="AM162" s="10" t="str">
        <f t="shared" si="43"/>
        <v>0.0683681589798655-0.242668747421429i</v>
      </c>
      <c r="AN162" s="10" t="str">
        <f t="shared" si="47"/>
        <v>-0.157414063474021+0.569999996681434i</v>
      </c>
      <c r="AO162" s="10">
        <f t="shared" si="48"/>
        <v>0.59133677680002106</v>
      </c>
      <c r="AP162" s="10">
        <f t="shared" si="49"/>
        <v>1.8402453294583816</v>
      </c>
      <c r="AQ162" s="10">
        <f t="shared" si="50"/>
        <v>105.43829064662697</v>
      </c>
      <c r="AR162" s="10">
        <f t="shared" si="51"/>
        <v>-4.5633022047419987</v>
      </c>
      <c r="AS162" s="10">
        <f t="shared" si="52"/>
        <v>-18.985762997513422</v>
      </c>
      <c r="AT162" s="10">
        <f t="shared" si="53"/>
        <v>29.639474777991339</v>
      </c>
    </row>
    <row r="163" spans="25:46" x14ac:dyDescent="0.25">
      <c r="Y163" s="10">
        <v>161</v>
      </c>
      <c r="Z163" s="10">
        <f t="shared" si="44"/>
        <v>67608.297539198174</v>
      </c>
      <c r="AA163" s="10" t="str">
        <f t="shared" si="45"/>
        <v>424795.461741716i</v>
      </c>
      <c r="AC163" s="10">
        <f>1/(2*$T$3+$T$6*$T$2/('4. Boost Inductor'!$B$11*$T$3^2)*($T$5-0.5))</f>
        <v>0.16903313049357674</v>
      </c>
      <c r="AD163" s="10" t="str">
        <f t="shared" si="40"/>
        <v>0.00403239311569039-0.000945217133337248i</v>
      </c>
      <c r="AE163" s="10" t="str">
        <f t="shared" si="41"/>
        <v>0.592531760054712-1.26055638752365i</v>
      </c>
      <c r="AF163" s="10" t="str">
        <f t="shared" si="46"/>
        <v>0.040494303416074-0.190775188324547i</v>
      </c>
      <c r="AG163" s="10">
        <f t="shared" si="36"/>
        <v>0.19502553958243374</v>
      </c>
      <c r="AH163" s="10">
        <f t="shared" si="37"/>
        <v>-1.3616387603546289</v>
      </c>
      <c r="AI163" s="10">
        <f t="shared" si="38"/>
        <v>-78.016154189745563</v>
      </c>
      <c r="AJ163" s="10">
        <f t="shared" si="39"/>
        <v>-14.198170237012999</v>
      </c>
      <c r="AL163" s="10" t="str">
        <f t="shared" si="42"/>
        <v>0.0324329010753394-0.000156408392241756i</v>
      </c>
      <c r="AM163" s="10" t="str">
        <f t="shared" si="43"/>
        <v>0.0606669061766385-0.228343760225537i</v>
      </c>
      <c r="AN163" s="10" t="str">
        <f t="shared" si="47"/>
        <v>-0.139709357960311+0.536258743465903i</v>
      </c>
      <c r="AO163" s="10">
        <f t="shared" si="48"/>
        <v>0.55415895250849423</v>
      </c>
      <c r="AP163" s="10">
        <f t="shared" si="49"/>
        <v>1.8256570380280084</v>
      </c>
      <c r="AQ163" s="10">
        <f t="shared" si="50"/>
        <v>104.60244311735973</v>
      </c>
      <c r="AR163" s="10">
        <f t="shared" si="51"/>
        <v>-5.127312925794886</v>
      </c>
      <c r="AS163" s="10">
        <f t="shared" si="52"/>
        <v>-19.325483162807885</v>
      </c>
      <c r="AT163" s="10">
        <f t="shared" si="53"/>
        <v>26.586288927614163</v>
      </c>
    </row>
    <row r="164" spans="25:46" x14ac:dyDescent="0.25">
      <c r="Y164" s="10">
        <v>162</v>
      </c>
      <c r="Z164" s="10">
        <f t="shared" si="44"/>
        <v>72443.596007498985</v>
      </c>
      <c r="AA164" s="10" t="str">
        <f t="shared" si="45"/>
        <v>455176.538033571i</v>
      </c>
      <c r="AC164" s="10">
        <f>1/(2*$T$3+$T$6*$T$2/('4. Boost Inductor'!$B$11*$T$3^2)*($T$5-0.5))</f>
        <v>0.16903313049357674</v>
      </c>
      <c r="AD164" s="10" t="str">
        <f t="shared" si="40"/>
        <v>0.0040322773633214-0.000882128057395801i</v>
      </c>
      <c r="AE164" s="10" t="str">
        <f t="shared" si="41"/>
        <v>0.538198158616989-1.33258583873518i</v>
      </c>
      <c r="AF164" s="10" t="str">
        <f t="shared" si="46"/>
        <v>0.0336258585103423-0.197705050992878i</v>
      </c>
      <c r="AG164" s="10">
        <f t="shared" si="36"/>
        <v>0.2005442234237976</v>
      </c>
      <c r="AH164" s="10">
        <f t="shared" si="37"/>
        <v>-1.4023275159864044</v>
      </c>
      <c r="AI164" s="10">
        <f t="shared" si="38"/>
        <v>-80.347448161085453</v>
      </c>
      <c r="AJ164" s="10">
        <f t="shared" si="39"/>
        <v>-13.955796862756642</v>
      </c>
      <c r="AL164" s="10" t="str">
        <f t="shared" si="42"/>
        <v>0.0324328978128338-0.000145968805232549i</v>
      </c>
      <c r="AM164" s="10" t="str">
        <f t="shared" si="43"/>
        <v>0.0538549036646204-0.214648208448686i</v>
      </c>
      <c r="AN164" s="10" t="str">
        <f t="shared" si="47"/>
        <v>-0.12404898773343+0.504018531616436i</v>
      </c>
      <c r="AO164" s="10">
        <f t="shared" si="48"/>
        <v>0.51905956456892011</v>
      </c>
      <c r="AP164" s="10">
        <f t="shared" si="49"/>
        <v>1.8121198049498113</v>
      </c>
      <c r="AQ164" s="10">
        <f t="shared" si="50"/>
        <v>103.82681679569413</v>
      </c>
      <c r="AR164" s="10">
        <f t="shared" si="51"/>
        <v>-5.6956560384346409</v>
      </c>
      <c r="AS164" s="10">
        <f t="shared" si="52"/>
        <v>-19.651452901191284</v>
      </c>
      <c r="AT164" s="10">
        <f t="shared" si="53"/>
        <v>23.479368634608676</v>
      </c>
    </row>
    <row r="165" spans="25:46" x14ac:dyDescent="0.25">
      <c r="Y165" s="10">
        <v>163</v>
      </c>
      <c r="Z165" s="10">
        <f t="shared" si="44"/>
        <v>77624.711662869129</v>
      </c>
      <c r="AA165" s="10" t="str">
        <f t="shared" si="45"/>
        <v>487730.447794191i</v>
      </c>
      <c r="AC165" s="10">
        <f>1/(2*$T$3+$T$6*$T$2/('4. Boost Inductor'!$B$11*$T$3^2)*($T$5-0.5))</f>
        <v>0.16903313049357674</v>
      </c>
      <c r="AD165" s="10" t="str">
        <f t="shared" si="40"/>
        <v>0.00403217654720062-0.000823249886751198i</v>
      </c>
      <c r="AE165" s="10" t="str">
        <f t="shared" si="41"/>
        <v>0.477518512603011-1.40620096175412i</v>
      </c>
      <c r="AF165" s="10" t="str">
        <f t="shared" si="46"/>
        <v>0.025956192185885-0.204975240029004i</v>
      </c>
      <c r="AG165" s="10">
        <f t="shared" si="36"/>
        <v>0.2066121316325312</v>
      </c>
      <c r="AH165" s="10">
        <f t="shared" si="37"/>
        <v>-1.4448358799675836</v>
      </c>
      <c r="AI165" s="10">
        <f t="shared" si="38"/>
        <v>-82.782998011212953</v>
      </c>
      <c r="AJ165" s="10">
        <f t="shared" si="39"/>
        <v>-13.696883632476972</v>
      </c>
      <c r="AL165" s="10" t="str">
        <f t="shared" si="42"/>
        <v>0.0324328949713101-0.000136226015665539i</v>
      </c>
      <c r="AM165" s="10" t="str">
        <f t="shared" si="43"/>
        <v>0.0478408859228882-0.201594673928464i</v>
      </c>
      <c r="AN165" s="10" t="str">
        <f t="shared" si="47"/>
        <v>-0.110223137685051+0.473304679271392i</v>
      </c>
      <c r="AO165" s="10">
        <f t="shared" si="48"/>
        <v>0.48596960759015889</v>
      </c>
      <c r="AP165" s="10">
        <f t="shared" si="49"/>
        <v>1.7995981784495225</v>
      </c>
      <c r="AQ165" s="10">
        <f t="shared" si="50"/>
        <v>103.10938044458842</v>
      </c>
      <c r="AR165" s="10">
        <f t="shared" si="51"/>
        <v>-6.2678178109934777</v>
      </c>
      <c r="AS165" s="10">
        <f t="shared" si="52"/>
        <v>-19.96470144347045</v>
      </c>
      <c r="AT165" s="10">
        <f t="shared" si="53"/>
        <v>20.326382433375471</v>
      </c>
    </row>
    <row r="166" spans="25:46" x14ac:dyDescent="0.25">
      <c r="Y166" s="10">
        <v>164</v>
      </c>
      <c r="Z166" s="10">
        <f t="shared" si="44"/>
        <v>83176.377110267029</v>
      </c>
      <c r="AA166" s="10" t="str">
        <f t="shared" si="45"/>
        <v>522612.590563658i</v>
      </c>
      <c r="AC166" s="10">
        <f>1/(2*$T$3+$T$6*$T$2/('4. Boost Inductor'!$B$11*$T$3^2)*($T$5-0.5))</f>
        <v>0.16903313049357674</v>
      </c>
      <c r="AD166" s="10" t="str">
        <f t="shared" si="40"/>
        <v>0.00403208874001352-0.000768301565176707i</v>
      </c>
      <c r="AE166" s="10" t="str">
        <f t="shared" si="41"/>
        <v>0.409997700334654-1.48090764372668i</v>
      </c>
      <c r="AF166" s="10" t="str">
        <f t="shared" si="46"/>
        <v>0.0174226994723948-0.212513621033004i</v>
      </c>
      <c r="AG166" s="10">
        <f t="shared" si="36"/>
        <v>0.21322661555599629</v>
      </c>
      <c r="AH166" s="10">
        <f t="shared" si="37"/>
        <v>-1.4889953519028107</v>
      </c>
      <c r="AI166" s="10">
        <f t="shared" si="38"/>
        <v>-85.31314937862787</v>
      </c>
      <c r="AJ166" s="10">
        <f t="shared" si="39"/>
        <v>-13.423171727650496</v>
      </c>
      <c r="AL166" s="10" t="str">
        <f t="shared" si="42"/>
        <v>0.0324328924964465-0.000127133515325488i</v>
      </c>
      <c r="AM166" s="10" t="str">
        <f t="shared" si="43"/>
        <v>0.0425402559815898-0.189186458938102i</v>
      </c>
      <c r="AN166" s="10" t="str">
        <f t="shared" si="47"/>
        <v>-0.0980373236424038+0.444121412453187i</v>
      </c>
      <c r="AO166" s="10">
        <f t="shared" si="48"/>
        <v>0.4548133087612754</v>
      </c>
      <c r="AP166" s="10">
        <f t="shared" si="49"/>
        <v>1.7880565742527683</v>
      </c>
      <c r="AQ166" s="10">
        <f t="shared" si="50"/>
        <v>102.44809523530392</v>
      </c>
      <c r="AR166" s="10">
        <f t="shared" si="51"/>
        <v>-6.8433367091928314</v>
      </c>
      <c r="AS166" s="10">
        <f t="shared" si="52"/>
        <v>-20.266508436843328</v>
      </c>
      <c r="AT166" s="10">
        <f t="shared" si="53"/>
        <v>17.134945856676055</v>
      </c>
    </row>
    <row r="167" spans="25:46" x14ac:dyDescent="0.25">
      <c r="Y167" s="10">
        <v>165</v>
      </c>
      <c r="Z167" s="10">
        <f t="shared" si="44"/>
        <v>89125.093813374449</v>
      </c>
      <c r="AA167" s="10" t="str">
        <f t="shared" si="45"/>
        <v>559989.479949197i</v>
      </c>
      <c r="AC167" s="10">
        <f>1/(2*$T$3+$T$6*$T$2/('4. Boost Inductor'!$B$11*$T$3^2)*($T$5-0.5))</f>
        <v>0.16903313049357674</v>
      </c>
      <c r="AD167" s="10" t="str">
        <f t="shared" si="40"/>
        <v>0.00403201226313802-0.000717020795067727i</v>
      </c>
      <c r="AE167" s="10" t="str">
        <f t="shared" si="41"/>
        <v>0.335167971724733-1.55610523536676i</v>
      </c>
      <c r="AF167" s="10" t="str">
        <f t="shared" si="46"/>
        <v>0.00796624608294435-0.22023521965177i</v>
      </c>
      <c r="AG167" s="10">
        <f t="shared" si="36"/>
        <v>0.22037924823294366</v>
      </c>
      <c r="AH167" s="10">
        <f t="shared" si="37"/>
        <v>-1.5346405542164123</v>
      </c>
      <c r="AI167" s="10">
        <f t="shared" si="38"/>
        <v>-87.928426826218015</v>
      </c>
      <c r="AJ167" s="10">
        <f t="shared" si="39"/>
        <v>-13.136586055046545</v>
      </c>
      <c r="AL167" s="10" t="str">
        <f t="shared" si="42"/>
        <v>0.0324328903409304-0.000118647900217272i</v>
      </c>
      <c r="AM167" s="10" t="str">
        <f t="shared" si="43"/>
        <v>0.0378752808883667-0.177419314914913i</v>
      </c>
      <c r="AN167" s="10" t="str">
        <f t="shared" si="47"/>
        <v>-0.087312841651507+0.416455823181664i</v>
      </c>
      <c r="AO167" s="10">
        <f t="shared" si="48"/>
        <v>0.42551026424656141</v>
      </c>
      <c r="AP167" s="10">
        <f t="shared" si="49"/>
        <v>1.7774599009636121</v>
      </c>
      <c r="AQ167" s="10">
        <f t="shared" si="50"/>
        <v>101.84095057895625</v>
      </c>
      <c r="AR167" s="10">
        <f t="shared" si="51"/>
        <v>-7.4217991862352353</v>
      </c>
      <c r="AS167" s="10">
        <f t="shared" si="52"/>
        <v>-20.55838524128178</v>
      </c>
      <c r="AT167" s="10">
        <f t="shared" si="53"/>
        <v>13.912523752738238</v>
      </c>
    </row>
    <row r="168" spans="25:46" x14ac:dyDescent="0.25">
      <c r="Y168" s="10">
        <v>166</v>
      </c>
      <c r="Z168" s="10">
        <f t="shared" si="44"/>
        <v>95499.258602143629</v>
      </c>
      <c r="AA168" s="10" t="str">
        <f t="shared" si="45"/>
        <v>600039.538495533i</v>
      </c>
      <c r="AC168" s="10">
        <f>1/(2*$T$3+$T$6*$T$2/('4. Boost Inductor'!$B$11*$T$3^2)*($T$5-0.5))</f>
        <v>0.16903313049357674</v>
      </c>
      <c r="AD168" s="10" t="str">
        <f t="shared" si="40"/>
        <v>0.00403194565455439-0.000669162785510256i</v>
      </c>
      <c r="AE168" s="10" t="str">
        <f t="shared" si="41"/>
        <v>0.252609405301233-1.63108141890604i</v>
      </c>
      <c r="AF168" s="10" t="str">
        <f t="shared" si="46"/>
        <v>-0.00246624718273534-0.228041529833674i</v>
      </c>
      <c r="AG168" s="10">
        <f t="shared" si="36"/>
        <v>0.22805486555662169</v>
      </c>
      <c r="AH168" s="10">
        <f t="shared" si="37"/>
        <v>-1.5816108088708747</v>
      </c>
      <c r="AI168" s="10">
        <f t="shared" si="38"/>
        <v>-90.619624180573425</v>
      </c>
      <c r="AJ168" s="10">
        <f t="shared" si="39"/>
        <v>-12.839213152797566</v>
      </c>
      <c r="AL168" s="10" t="str">
        <f t="shared" si="42"/>
        <v>0.0324328884635542-0.000110728663373148i</v>
      </c>
      <c r="AM168" s="10" t="str">
        <f t="shared" si="43"/>
        <v>0.0337750619392704-0.166282967936386i</v>
      </c>
      <c r="AN168" s="10" t="str">
        <f t="shared" si="47"/>
        <v>-0.0778866994754699+0.39028136140234i</v>
      </c>
      <c r="AO168" s="10">
        <f t="shared" si="48"/>
        <v>0.39797723429016152</v>
      </c>
      <c r="AP168" s="10">
        <f t="shared" si="49"/>
        <v>1.7677740742519699</v>
      </c>
      <c r="AQ168" s="10">
        <f t="shared" si="50"/>
        <v>101.28599358728408</v>
      </c>
      <c r="AR168" s="10">
        <f t="shared" si="51"/>
        <v>-8.0028354080207382</v>
      </c>
      <c r="AS168" s="10">
        <f t="shared" si="52"/>
        <v>-20.842048560818306</v>
      </c>
      <c r="AT168" s="10">
        <f t="shared" si="53"/>
        <v>10.666369406710658</v>
      </c>
    </row>
    <row r="169" spans="25:46" x14ac:dyDescent="0.25">
      <c r="Y169" s="10">
        <v>167</v>
      </c>
      <c r="Z169" s="10">
        <f t="shared" si="44"/>
        <v>102329.29922807543</v>
      </c>
      <c r="AA169" s="10" t="str">
        <f t="shared" si="45"/>
        <v>642953.949403827i</v>
      </c>
      <c r="AC169" s="10">
        <f>1/(2*$T$3+$T$6*$T$2/('4. Boost Inductor'!$B$11*$T$3^2)*($T$5-0.5))</f>
        <v>0.16903313049357674</v>
      </c>
      <c r="AD169" s="10" t="str">
        <f t="shared" si="40"/>
        <v>0.00403188764089602-0.000624499083886884i</v>
      </c>
      <c r="AE169" s="10" t="str">
        <f t="shared" si="41"/>
        <v>0.161973537423321-1.70501093839114i</v>
      </c>
      <c r="AF169" s="10" t="str">
        <f t="shared" si="46"/>
        <v>-0.0139188189774539-0.235820312908267i</v>
      </c>
      <c r="AG169" s="10">
        <f t="shared" si="36"/>
        <v>0.23623072091046943</v>
      </c>
      <c r="AH169" s="10">
        <f t="shared" si="37"/>
        <v>-1.6297509157802237</v>
      </c>
      <c r="AI169" s="10">
        <f t="shared" si="38"/>
        <v>-93.377849131787698</v>
      </c>
      <c r="AJ169" s="10">
        <f t="shared" si="39"/>
        <v>-12.533272493948378</v>
      </c>
      <c r="AL169" s="10" t="str">
        <f t="shared" si="42"/>
        <v>0.0324328868284279-0.000103338001489128i</v>
      </c>
      <c r="AM169" s="10" t="str">
        <f t="shared" si="43"/>
        <v>0.0301753404700738-0.155762442171571i</v>
      </c>
      <c r="AN169" s="10" t="str">
        <f t="shared" si="47"/>
        <v>-0.0696111700705195+0.365560863480159i</v>
      </c>
      <c r="AO169" s="10">
        <f t="shared" si="48"/>
        <v>0.37212962782738246</v>
      </c>
      <c r="AP169" s="10">
        <f t="shared" si="49"/>
        <v>1.758966434112589</v>
      </c>
      <c r="AQ169" s="10">
        <f t="shared" si="50"/>
        <v>100.78135297982755</v>
      </c>
      <c r="AR169" s="10">
        <f t="shared" si="51"/>
        <v>-8.5861150279646044</v>
      </c>
      <c r="AS169" s="10">
        <f t="shared" si="52"/>
        <v>-21.119387521912984</v>
      </c>
      <c r="AT169" s="10">
        <f t="shared" si="53"/>
        <v>7.403503848039847</v>
      </c>
    </row>
    <row r="170" spans="25:46" x14ac:dyDescent="0.25">
      <c r="Y170" s="10">
        <v>168</v>
      </c>
      <c r="Z170" s="10">
        <f t="shared" si="44"/>
        <v>109647.81961431848</v>
      </c>
      <c r="AA170" s="10" t="str">
        <f t="shared" si="45"/>
        <v>688937.569164963i</v>
      </c>
      <c r="AC170" s="10">
        <f>1/(2*$T$3+$T$6*$T$2/('4. Boost Inductor'!$B$11*$T$3^2)*($T$5-0.5))</f>
        <v>0.16903313049357674</v>
      </c>
      <c r="AD170" s="10" t="str">
        <f t="shared" si="40"/>
        <v>0.00403183711310636-0.000582816485448857i</v>
      </c>
      <c r="AE170" s="10" t="str">
        <f t="shared" si="41"/>
        <v>0.0630095226588339-1.77695944895387i</v>
      </c>
      <c r="AF170" s="10" t="str">
        <f t="shared" si="46"/>
        <v>-0.0264231618961944-0.243446046089353i</v>
      </c>
      <c r="AG170" s="10">
        <f t="shared" si="36"/>
        <v>0.24487580697392689</v>
      </c>
      <c r="AH170" s="10">
        <f t="shared" si="37"/>
        <v>-1.6789111643922503</v>
      </c>
      <c r="AI170" s="10">
        <f t="shared" si="38"/>
        <v>-96.194523897070681</v>
      </c>
      <c r="AJ170" s="10">
        <f t="shared" si="39"/>
        <v>-12.221082396054728</v>
      </c>
      <c r="AL170" s="10" t="str">
        <f t="shared" si="42"/>
        <v>0.0324328854042924-0.0000964406344674423i</v>
      </c>
      <c r="AM170" s="10" t="str">
        <f t="shared" si="43"/>
        <v>0.0270181892986298-0.145839191032939i</v>
      </c>
      <c r="AN170" s="10" t="str">
        <f t="shared" si="47"/>
        <v>-0.0623530821922089+0.342249139549199i</v>
      </c>
      <c r="AO170" s="10">
        <f t="shared" si="48"/>
        <v>0.34788271066702275</v>
      </c>
      <c r="AP170" s="10">
        <f t="shared" si="49"/>
        <v>1.751006079048036</v>
      </c>
      <c r="AQ170" s="10">
        <f t="shared" si="50"/>
        <v>100.32525823120305</v>
      </c>
      <c r="AR170" s="10">
        <f t="shared" si="51"/>
        <v>-9.1713430921071577</v>
      </c>
      <c r="AS170" s="10">
        <f t="shared" si="52"/>
        <v>-21.392425488161884</v>
      </c>
      <c r="AT170" s="10">
        <f t="shared" si="53"/>
        <v>4.1307343341323701</v>
      </c>
    </row>
    <row r="171" spans="25:46" x14ac:dyDescent="0.25">
      <c r="Y171" s="10">
        <v>169</v>
      </c>
      <c r="Z171" s="10">
        <f t="shared" si="44"/>
        <v>117489.75549395289</v>
      </c>
      <c r="AA171" s="10" t="str">
        <f t="shared" si="45"/>
        <v>738209.905463727i</v>
      </c>
      <c r="AC171" s="10">
        <f>1/(2*$T$3+$T$6*$T$2/('4. Boost Inductor'!$B$11*$T$3^2)*($T$5-0.5))</f>
        <v>0.16903313049357674</v>
      </c>
      <c r="AD171" s="10" t="str">
        <f t="shared" si="40"/>
        <v>0.00403179310523708-0.000543916015654013i</v>
      </c>
      <c r="AE171" s="10" t="str">
        <f t="shared" si="41"/>
        <v>-0.0444082752544252-1.84589369621632i</v>
      </c>
      <c r="AF171" s="10" t="str">
        <f t="shared" si="46"/>
        <v>-0.0399951359889487-0.250781173267988i</v>
      </c>
      <c r="AG171" s="10">
        <f t="shared" si="36"/>
        <v>0.2539504041509742</v>
      </c>
      <c r="AH171" s="10">
        <f t="shared" si="37"/>
        <v>-1.7289466837653238</v>
      </c>
      <c r="AI171" s="10">
        <f t="shared" si="38"/>
        <v>-99.061347982892869</v>
      </c>
      <c r="AJ171" s="10">
        <f t="shared" si="39"/>
        <v>-11.90502183348276</v>
      </c>
      <c r="AL171" s="10" t="str">
        <f t="shared" si="42"/>
        <v>0.0324328841639224-0.0000900036370037111i</v>
      </c>
      <c r="AM171" s="10" t="str">
        <f t="shared" si="43"/>
        <v>0.0242516299626007-0.136492050963577i</v>
      </c>
      <c r="AN171" s="10" t="str">
        <f t="shared" si="47"/>
        <v>-0.0559929404187786+0.320295153989825i</v>
      </c>
      <c r="AO171" s="10">
        <f t="shared" si="48"/>
        <v>0.32515257195062536</v>
      </c>
      <c r="AP171" s="10">
        <f t="shared" si="49"/>
        <v>1.7438641301437023</v>
      </c>
      <c r="AQ171" s="10">
        <f t="shared" si="50"/>
        <v>99.916054701486672</v>
      </c>
      <c r="AR171" s="10">
        <f t="shared" si="51"/>
        <v>-9.7582561276290072</v>
      </c>
      <c r="AS171" s="10">
        <f t="shared" si="52"/>
        <v>-21.663277961111767</v>
      </c>
      <c r="AT171" s="10">
        <f t="shared" si="53"/>
        <v>0.85470671859380332</v>
      </c>
    </row>
    <row r="172" spans="25:46" x14ac:dyDescent="0.25">
      <c r="Y172" s="10">
        <v>170</v>
      </c>
      <c r="Z172" s="10">
        <f t="shared" si="44"/>
        <v>125892.54117941685</v>
      </c>
      <c r="AA172" s="10" t="str">
        <f t="shared" si="45"/>
        <v>791006.165022013i</v>
      </c>
      <c r="AC172" s="10">
        <f>1/(2*$T$3+$T$6*$T$2/('4. Boost Inductor'!$B$11*$T$3^2)*($T$5-0.5))</f>
        <v>0.16903313049357674</v>
      </c>
      <c r="AD172" s="10" t="str">
        <f t="shared" si="40"/>
        <v>0.00403175477598211-0.00050761198041662i</v>
      </c>
      <c r="AE172" s="10" t="str">
        <f t="shared" si="41"/>
        <v>-0.160252862436944-1.91069902366254i</v>
      </c>
      <c r="AF172" s="10" t="str">
        <f t="shared" si="46"/>
        <v>-0.0546313035455172-0.257678284017808i</v>
      </c>
      <c r="AG172" s="10">
        <f t="shared" si="36"/>
        <v>0.26340591751409947</v>
      </c>
      <c r="AH172" s="10">
        <f t="shared" si="37"/>
        <v>-1.7797162995970877</v>
      </c>
      <c r="AI172" s="10">
        <f t="shared" si="38"/>
        <v>-101.97023269755351</v>
      </c>
      <c r="AJ172" s="10">
        <f t="shared" si="39"/>
        <v>-11.587489453479202</v>
      </c>
      <c r="AL172" s="10" t="str">
        <f t="shared" si="42"/>
        <v>0.0324328830836053-0.0000839962814148692i</v>
      </c>
      <c r="AM172" s="10" t="str">
        <f t="shared" si="43"/>
        <v>0.0218292070876995-0.127698035539824i</v>
      </c>
      <c r="AN172" s="10" t="str">
        <f t="shared" si="47"/>
        <v>-0.0504239466272936+0.299643839619932i</v>
      </c>
      <c r="AO172" s="10">
        <f t="shared" si="48"/>
        <v>0.3038568824556187</v>
      </c>
      <c r="AP172" s="10">
        <f t="shared" si="49"/>
        <v>1.7375139368422914</v>
      </c>
      <c r="AQ172" s="10">
        <f t="shared" si="50"/>
        <v>99.552215426223569</v>
      </c>
      <c r="AR172" s="10">
        <f t="shared" si="51"/>
        <v>-10.346618445925472</v>
      </c>
      <c r="AS172" s="10">
        <f t="shared" si="52"/>
        <v>-21.934107899404673</v>
      </c>
      <c r="AT172" s="10">
        <f t="shared" si="53"/>
        <v>-2.4180172713299442</v>
      </c>
    </row>
    <row r="173" spans="25:46" x14ac:dyDescent="0.25">
      <c r="Y173" s="10">
        <v>171</v>
      </c>
      <c r="Z173" s="10">
        <f t="shared" si="44"/>
        <v>134896.28825916522</v>
      </c>
      <c r="AA173" s="10" t="str">
        <f t="shared" si="45"/>
        <v>847578.376383049i</v>
      </c>
      <c r="AC173" s="10">
        <f>1/(2*$T$3+$T$6*$T$2/('4. Boost Inductor'!$B$11*$T$3^2)*($T$5-0.5))</f>
        <v>0.16903313049357674</v>
      </c>
      <c r="AD173" s="10" t="str">
        <f t="shared" si="40"/>
        <v>0.00403172139259422-0.000473731079738658i</v>
      </c>
      <c r="AE173" s="10" t="str">
        <f t="shared" si="41"/>
        <v>-0.284319442298006-1.9702047877586i</v>
      </c>
      <c r="AF173" s="10" t="str">
        <f t="shared" si="46"/>
        <v>-0.0703057477773659-0.263983293921818i</v>
      </c>
      <c r="AG173" s="10">
        <f t="shared" si="36"/>
        <v>0.2731850611588188</v>
      </c>
      <c r="AH173" s="10">
        <f t="shared" si="37"/>
        <v>-1.8310811123768418</v>
      </c>
      <c r="AI173" s="10">
        <f t="shared" si="38"/>
        <v>-104.91321968531304</v>
      </c>
      <c r="AJ173" s="10">
        <f t="shared" si="39"/>
        <v>-11.270861065672372</v>
      </c>
      <c r="AL173" s="10" t="str">
        <f t="shared" si="42"/>
        <v>0.0324328821426884-0.000078389890957612i</v>
      </c>
      <c r="AM173" s="10" t="str">
        <f t="shared" si="43"/>
        <v>0.0197095436975285-0.119432988548152i</v>
      </c>
      <c r="AN173" s="10" t="str">
        <f t="shared" si="47"/>
        <v>-0.0455509776612209+0.280237588440789i</v>
      </c>
      <c r="AO173" s="10">
        <f t="shared" si="48"/>
        <v>0.2839154760505353</v>
      </c>
      <c r="AP173" s="10">
        <f t="shared" si="49"/>
        <v>1.7319312349336</v>
      </c>
      <c r="AQ173" s="10">
        <f t="shared" si="50"/>
        <v>99.23235016857592</v>
      </c>
      <c r="AR173" s="10">
        <f t="shared" si="51"/>
        <v>-10.936218674304083</v>
      </c>
      <c r="AS173" s="10">
        <f t="shared" si="52"/>
        <v>-22.207079739976457</v>
      </c>
      <c r="AT173" s="10">
        <f t="shared" si="53"/>
        <v>-5.6808695167371184</v>
      </c>
    </row>
    <row r="174" spans="25:46" x14ac:dyDescent="0.25">
      <c r="Y174" s="10">
        <v>172</v>
      </c>
      <c r="Z174" s="10">
        <f t="shared" si="44"/>
        <v>144543.97707459255</v>
      </c>
      <c r="AA174" s="10" t="str">
        <f t="shared" si="45"/>
        <v>908196.592996383i</v>
      </c>
      <c r="AC174" s="10">
        <f>1/(2*$T$3+$T$6*$T$2/('4. Boost Inductor'!$B$11*$T$3^2)*($T$5-0.5))</f>
        <v>0.16903313049357674</v>
      </c>
      <c r="AD174" s="10" t="str">
        <f t="shared" si="40"/>
        <v>0.00403169231687701-0.000442111580494051i</v>
      </c>
      <c r="AE174" s="10" t="str">
        <f t="shared" si="41"/>
        <v>-0.416204938775868-2.02321762499214i</v>
      </c>
      <c r="AF174" s="10" t="str">
        <f t="shared" si="46"/>
        <v>-0.0869674846442741-0.269539619024994i</v>
      </c>
      <c r="AG174" s="10">
        <f t="shared" si="36"/>
        <v>0.2832224383933783</v>
      </c>
      <c r="AH174" s="10">
        <f t="shared" si="37"/>
        <v>-1.8829030345570126</v>
      </c>
      <c r="AI174" s="10">
        <f t="shared" si="38"/>
        <v>-107.88239711249221</v>
      </c>
      <c r="AJ174" s="10">
        <f t="shared" si="39"/>
        <v>-10.957446849843361</v>
      </c>
      <c r="AL174" s="10" t="str">
        <f t="shared" si="42"/>
        <v>0.0324328813231838-0.0000731577029371608i</v>
      </c>
      <c r="AM174" s="10" t="str">
        <f t="shared" si="43"/>
        <v>0.017855895035328-0.111672114469516i</v>
      </c>
      <c r="AN174" s="10" t="str">
        <f t="shared" si="47"/>
        <v>-0.0412895595812632+0.262017461263013i</v>
      </c>
      <c r="AO174" s="10">
        <f t="shared" si="48"/>
        <v>0.2652507827267041</v>
      </c>
      <c r="AP174" s="10">
        <f t="shared" si="49"/>
        <v>1.7270942659534787</v>
      </c>
      <c r="AQ174" s="10">
        <f t="shared" si="50"/>
        <v>98.955212260379284</v>
      </c>
      <c r="AR174" s="10">
        <f t="shared" si="51"/>
        <v>-11.526866517362828</v>
      </c>
      <c r="AS174" s="10">
        <f t="shared" si="52"/>
        <v>-22.484313367206191</v>
      </c>
      <c r="AT174" s="10">
        <f t="shared" si="53"/>
        <v>-8.92718485211293</v>
      </c>
    </row>
    <row r="175" spans="25:46" x14ac:dyDescent="0.25">
      <c r="Y175" s="10">
        <v>173</v>
      </c>
      <c r="Z175" s="10">
        <f t="shared" si="44"/>
        <v>154881.66189124787</v>
      </c>
      <c r="AA175" s="10" t="str">
        <f t="shared" si="45"/>
        <v>973150.182346645i</v>
      </c>
      <c r="AC175" s="10">
        <f>1/(2*$T$3+$T$6*$T$2/('4. Boost Inductor'!$B$11*$T$3^2)*($T$5-0.5))</f>
        <v>0.16903313049357674</v>
      </c>
      <c r="AD175" s="10" t="str">
        <f t="shared" si="40"/>
        <v>0.0040316669929846-0.000412602544419229i</v>
      </c>
      <c r="AE175" s="10" t="str">
        <f t="shared" si="41"/>
        <v>-0.555294821649427-2.06856168776358i</v>
      </c>
      <c r="AF175" s="10" t="str">
        <f t="shared" si="46"/>
        <v>-0.104538797142618-0.274193232697551i</v>
      </c>
      <c r="AG175" s="10">
        <f t="shared" si="36"/>
        <v>0.29344554684840385</v>
      </c>
      <c r="AH175" s="10">
        <f t="shared" si="37"/>
        <v>-1.9350435240671711</v>
      </c>
      <c r="AI175" s="10">
        <f t="shared" si="38"/>
        <v>-110.86982710317044</v>
      </c>
      <c r="AJ175" s="10">
        <f t="shared" si="39"/>
        <v>-10.649449533799748</v>
      </c>
      <c r="AL175" s="10" t="str">
        <f t="shared" si="42"/>
        <v>0.0324328806094254-0.0000682747409528993i</v>
      </c>
      <c r="AM175" s="10" t="str">
        <f t="shared" si="43"/>
        <v>0.0162357134195231-0.104390403808588i</v>
      </c>
      <c r="AN175" s="10" t="str">
        <f t="shared" si="47"/>
        <v>-0.0375648672855153+0.244924156252298i</v>
      </c>
      <c r="AO175" s="10">
        <f t="shared" si="48"/>
        <v>0.24778813847736628</v>
      </c>
      <c r="AP175" s="10">
        <f t="shared" si="49"/>
        <v>1.7229838659000776</v>
      </c>
      <c r="AQ175" s="10">
        <f t="shared" si="50"/>
        <v>98.719703685209055</v>
      </c>
      <c r="AR175" s="10">
        <f t="shared" si="51"/>
        <v>-12.118389739434976</v>
      </c>
      <c r="AS175" s="10">
        <f t="shared" si="52"/>
        <v>-22.767839273234724</v>
      </c>
      <c r="AT175" s="10">
        <f t="shared" si="53"/>
        <v>-12.150123417961382</v>
      </c>
    </row>
    <row r="176" spans="25:46" x14ac:dyDescent="0.25">
      <c r="Y176" s="10">
        <v>174</v>
      </c>
      <c r="Z176" s="10">
        <f t="shared" si="44"/>
        <v>165958.69074375575</v>
      </c>
      <c r="AA176" s="10" t="str">
        <f t="shared" si="45"/>
        <v>1042749.20727993i</v>
      </c>
      <c r="AC176" s="10">
        <f>1/(2*$T$3+$T$6*$T$2/('4. Boost Inductor'!$B$11*$T$3^2)*($T$5-0.5))</f>
        <v>0.16903313049357674</v>
      </c>
      <c r="AD176" s="10" t="str">
        <f t="shared" si="40"/>
        <v>0.00403164493679529-0.000385063107626429i</v>
      </c>
      <c r="AE176" s="10" t="str">
        <f t="shared" si="41"/>
        <v>-0.700759691571751-2.10512402281073i</v>
      </c>
      <c r="AF176" s="10" t="str">
        <f t="shared" si="46"/>
        <v>-0.122914802589521-0.277798374014708i</v>
      </c>
      <c r="AG176" s="10">
        <f t="shared" si="36"/>
        <v>0.30377620924100773</v>
      </c>
      <c r="AH176" s="10">
        <f t="shared" si="37"/>
        <v>-1.9873627265981939</v>
      </c>
      <c r="AI176" s="10">
        <f t="shared" si="38"/>
        <v>-113.86749659568824</v>
      </c>
      <c r="AJ176" s="10">
        <f t="shared" si="39"/>
        <v>-10.348924833291635</v>
      </c>
      <c r="AL176" s="10" t="str">
        <f t="shared" si="42"/>
        <v>0.0324328799877677-0.0000637176956710319i</v>
      </c>
      <c r="AM176" s="10" t="str">
        <f t="shared" si="43"/>
        <v>0.014820232662016-0.0975629692620649i</v>
      </c>
      <c r="AN176" s="10" t="str">
        <f t="shared" si="47"/>
        <v>-0.0343107691056848+0.228898773119863i</v>
      </c>
      <c r="AO176" s="10">
        <f t="shared" si="48"/>
        <v>0.23145599411638088</v>
      </c>
      <c r="AP176" s="10">
        <f t="shared" si="49"/>
        <v>1.7195835299650966</v>
      </c>
      <c r="AQ176" s="10">
        <f t="shared" si="50"/>
        <v>98.524878787207967</v>
      </c>
      <c r="AR176" s="10">
        <f t="shared" si="51"/>
        <v>-12.710631352455161</v>
      </c>
      <c r="AS176" s="10">
        <f t="shared" si="52"/>
        <v>-23.059556185746796</v>
      </c>
      <c r="AT176" s="10">
        <f t="shared" si="53"/>
        <v>-15.34261780848027</v>
      </c>
    </row>
    <row r="177" spans="25:46" x14ac:dyDescent="0.25">
      <c r="Y177" s="10">
        <v>175</v>
      </c>
      <c r="Z177" s="10">
        <f t="shared" si="44"/>
        <v>177827.94100389219</v>
      </c>
      <c r="AA177" s="10" t="str">
        <f t="shared" si="45"/>
        <v>1117325.90612165i</v>
      </c>
      <c r="AC177" s="10">
        <f>1/(2*$T$3+$T$6*$T$2/('4. Boost Inductor'!$B$11*$T$3^2)*($T$5-0.5))</f>
        <v>0.16903313049357674</v>
      </c>
      <c r="AD177" s="10" t="str">
        <f t="shared" si="40"/>
        <v>0.00403162572665668-0.000359361808201956i</v>
      </c>
      <c r="AE177" s="10" t="str">
        <f t="shared" si="41"/>
        <v>-0.851563559100554-2.13190233314804i</v>
      </c>
      <c r="AF177" s="10" t="str">
        <f t="shared" si="46"/>
        <v>-0.141964497298958-0.280223558912839i</v>
      </c>
      <c r="AG177" s="10">
        <f t="shared" si="36"/>
        <v>0.31413239480054139</v>
      </c>
      <c r="AH177" s="10">
        <f t="shared" si="37"/>
        <v>-2.0397191921172082</v>
      </c>
      <c r="AI177" s="10">
        <f t="shared" si="38"/>
        <v>-116.86730110014996</v>
      </c>
      <c r="AJ177" s="10">
        <f t="shared" si="39"/>
        <v>-10.057745496310829</v>
      </c>
      <c r="AL177" s="10" t="str">
        <f t="shared" si="42"/>
        <v>0.0324328794463265-0.0000594648135551406i</v>
      </c>
      <c r="AM177" s="10" t="str">
        <f t="shared" si="43"/>
        <v>0.0135840774869405-0.0911653070603804i</v>
      </c>
      <c r="AN177" s="10" t="str">
        <f t="shared" si="47"/>
        <v>-0.0314689288797555+0.213883405869697i</v>
      </c>
      <c r="AO177" s="10">
        <f t="shared" si="48"/>
        <v>0.21618604208241718</v>
      </c>
      <c r="AP177" s="10">
        <f t="shared" si="49"/>
        <v>1.7168794588632319</v>
      </c>
      <c r="AQ177" s="10">
        <f t="shared" si="50"/>
        <v>98.369946925567831</v>
      </c>
      <c r="AR177" s="10">
        <f t="shared" si="51"/>
        <v>-13.303446988622767</v>
      </c>
      <c r="AS177" s="10">
        <f t="shared" si="52"/>
        <v>-23.361192484933596</v>
      </c>
      <c r="AT177" s="10">
        <f t="shared" si="53"/>
        <v>-18.497354174582128</v>
      </c>
    </row>
    <row r="178" spans="25:46" x14ac:dyDescent="0.25">
      <c r="Y178" s="10">
        <v>176</v>
      </c>
      <c r="Z178" s="10">
        <f t="shared" si="44"/>
        <v>190546.07179632425</v>
      </c>
      <c r="AA178" s="10" t="str">
        <f t="shared" si="45"/>
        <v>1197236.27865145i</v>
      </c>
      <c r="AC178" s="10">
        <f>1/(2*$T$3+$T$6*$T$2/('4. Boost Inductor'!$B$11*$T$3^2)*($T$5-0.5))</f>
        <v>0.16903313049357674</v>
      </c>
      <c r="AD178" s="10" t="str">
        <f t="shared" si="40"/>
        <v>0.0040316089953248-0.00033537595868066i</v>
      </c>
      <c r="AE178" s="10" t="str">
        <f t="shared" si="41"/>
        <v>-1.00648484461474-2.14805160637507i</v>
      </c>
      <c r="AF178" s="10" t="str">
        <f t="shared" si="46"/>
        <v>-0.16153340838372-0.281357449595111i</v>
      </c>
      <c r="AG178" s="10">
        <f t="shared" si="36"/>
        <v>0.32443035688222382</v>
      </c>
      <c r="AH178" s="10">
        <f t="shared" si="37"/>
        <v>-2.0919702665798585</v>
      </c>
      <c r="AI178" s="10">
        <f t="shared" si="38"/>
        <v>-119.86106714188361</v>
      </c>
      <c r="AJ178" s="10">
        <f t="shared" si="39"/>
        <v>-9.7775703142722303</v>
      </c>
      <c r="AL178" s="10" t="str">
        <f t="shared" si="42"/>
        <v>0.032432878974751-0.0000554957930234738i</v>
      </c>
      <c r="AM178" s="10" t="str">
        <f t="shared" si="43"/>
        <v>0.0125049010455235-0.0851734960992174i</v>
      </c>
      <c r="AN178" s="10" t="str">
        <f t="shared" si="47"/>
        <v>-0.0289879726173139+0.199821593068006i</v>
      </c>
      <c r="AO178" s="10">
        <f t="shared" si="48"/>
        <v>0.20191327745519344</v>
      </c>
      <c r="AP178" s="10">
        <f t="shared" si="49"/>
        <v>1.714860591330253</v>
      </c>
      <c r="AQ178" s="10">
        <f t="shared" si="50"/>
        <v>98.254274336532148</v>
      </c>
      <c r="AR178" s="10">
        <f t="shared" si="51"/>
        <v>-13.896702433813843</v>
      </c>
      <c r="AS178" s="10">
        <f t="shared" si="52"/>
        <v>-23.674272748086075</v>
      </c>
      <c r="AT178" s="10">
        <f t="shared" si="53"/>
        <v>-21.606792805351461</v>
      </c>
    </row>
    <row r="179" spans="25:46" x14ac:dyDescent="0.25">
      <c r="Y179" s="10">
        <v>177</v>
      </c>
      <c r="Z179" s="10">
        <f t="shared" si="44"/>
        <v>204173.79446695274</v>
      </c>
      <c r="AA179" s="10" t="str">
        <f t="shared" si="45"/>
        <v>1282861.78550586i</v>
      </c>
      <c r="AC179" s="10">
        <f>1/(2*$T$3+$T$6*$T$2/('4. Boost Inductor'!$B$11*$T$3^2)*($T$5-0.5))</f>
        <v>0.16903313049357674</v>
      </c>
      <c r="AD179" s="10" t="str">
        <f t="shared" si="40"/>
        <v>0.00403159442294345-0.000312991060402127i</v>
      </c>
      <c r="AE179" s="10" t="str">
        <f t="shared" si="41"/>
        <v>-1.16414990438837-2.15292568036356i</v>
      </c>
      <c r="AF179" s="10" t="str">
        <f t="shared" si="46"/>
        <v>-0.181447828048217-0.281114085629612i</v>
      </c>
      <c r="AG179" s="10">
        <f t="shared" si="36"/>
        <v>0.33458697440693669</v>
      </c>
      <c r="AH179" s="10">
        <f t="shared" si="37"/>
        <v>-2.1439731844965477</v>
      </c>
      <c r="AI179" s="10">
        <f t="shared" si="38"/>
        <v>-122.84061486087516</v>
      </c>
      <c r="AJ179" s="10">
        <f t="shared" si="39"/>
        <v>-9.5098194057452226</v>
      </c>
      <c r="AL179" s="10" t="str">
        <f t="shared" si="42"/>
        <v>0.0324328785640258-0.0000517916875372818i</v>
      </c>
      <c r="AM179" s="10" t="str">
        <f t="shared" si="43"/>
        <v>0.0115630518888887-0.0795643458046828i</v>
      </c>
      <c r="AN179" s="10" t="str">
        <f t="shared" si="47"/>
        <v>-0.0268227228879536+0.186658650757876i</v>
      </c>
      <c r="AO179" s="10">
        <f t="shared" si="48"/>
        <v>0.18857600686692533</v>
      </c>
      <c r="AP179" s="10">
        <f t="shared" si="49"/>
        <v>1.7135186264458067</v>
      </c>
      <c r="AQ179" s="10">
        <f t="shared" si="50"/>
        <v>98.177385412398607</v>
      </c>
      <c r="AR179" s="10">
        <f t="shared" si="51"/>
        <v>-14.490271295405442</v>
      </c>
      <c r="AS179" s="10">
        <f t="shared" si="52"/>
        <v>-24.000090701150665</v>
      </c>
      <c r="AT179" s="10">
        <f t="shared" si="53"/>
        <v>-24.663229448476557</v>
      </c>
    </row>
    <row r="180" spans="25:46" x14ac:dyDescent="0.25">
      <c r="Y180" s="10">
        <v>178</v>
      </c>
      <c r="Z180" s="10">
        <f t="shared" si="44"/>
        <v>218776.16239495497</v>
      </c>
      <c r="AA180" s="10" t="str">
        <f t="shared" si="45"/>
        <v>1374611.16912112i</v>
      </c>
      <c r="AC180" s="10">
        <f>1/(2*$T$3+$T$6*$T$2/('4. Boost Inductor'!$B$11*$T$3^2)*($T$5-0.5))</f>
        <v>0.16903313049357674</v>
      </c>
      <c r="AD180" s="10" t="str">
        <f t="shared" si="40"/>
        <v>0.00403158173092953-0.000292100256953642i</v>
      </c>
      <c r="AE180" s="10" t="str">
        <f t="shared" si="41"/>
        <v>-1.32307750496645-2.14610988944487i</v>
      </c>
      <c r="AF180" s="10" t="str">
        <f t="shared" si="46"/>
        <v>-0.201520430959573-0.279436989306384i</v>
      </c>
      <c r="AG180" s="10">
        <f t="shared" si="36"/>
        <v>0.34452215471105507</v>
      </c>
      <c r="AH180" s="10">
        <f t="shared" si="37"/>
        <v>-2.1955868103200102</v>
      </c>
      <c r="AI180" s="10">
        <f t="shared" si="38"/>
        <v>-125.79785778592701</v>
      </c>
      <c r="AJ180" s="10">
        <f t="shared" si="39"/>
        <v>-9.2556569056415299</v>
      </c>
      <c r="AL180" s="10" t="str">
        <f t="shared" si="42"/>
        <v>0.0324328782062992-0.0000483348151575721i</v>
      </c>
      <c r="AM180" s="10" t="str">
        <f t="shared" si="43"/>
        <v>0.0107412705109428-0.0743155021117833i</v>
      </c>
      <c r="AN180" s="10" t="str">
        <f t="shared" si="47"/>
        <v>-0.0249335011902843+0.174341909548577i</v>
      </c>
      <c r="AO180" s="10">
        <f t="shared" si="48"/>
        <v>0.17611581674185348</v>
      </c>
      <c r="AP180" s="10">
        <f t="shared" si="49"/>
        <v>1.7128480386114131</v>
      </c>
      <c r="AQ180" s="10">
        <f t="shared" si="50"/>
        <v>98.138963559695043</v>
      </c>
      <c r="AR180" s="10">
        <f t="shared" si="51"/>
        <v>-15.084032776708327</v>
      </c>
      <c r="AS180" s="10">
        <f t="shared" si="52"/>
        <v>-24.339689682349857</v>
      </c>
      <c r="AT180" s="10">
        <f t="shared" si="53"/>
        <v>-27.658894226231965</v>
      </c>
    </row>
    <row r="181" spans="25:46" x14ac:dyDescent="0.25">
      <c r="Y181" s="10">
        <v>179</v>
      </c>
      <c r="Z181" s="10">
        <f t="shared" si="44"/>
        <v>234422.88153199226</v>
      </c>
      <c r="AA181" s="10" t="str">
        <f t="shared" si="45"/>
        <v>1472922.40490851i</v>
      </c>
      <c r="AC181" s="10">
        <f>1/(2*$T$3+$T$6*$T$2/('4. Boost Inductor'!$B$11*$T$3^2)*($T$5-0.5))</f>
        <v>0.16903313049357674</v>
      </c>
      <c r="AD181" s="10" t="str">
        <f t="shared" si="40"/>
        <v>0.00403157067664725-0.000272603824091531i</v>
      </c>
      <c r="AE181" s="10" t="str">
        <f t="shared" si="41"/>
        <v>-1.48173133902011-2.12744155110888i</v>
      </c>
      <c r="AF181" s="10" t="str">
        <f t="shared" si="46"/>
        <v>-0.221556907350448-0.27630173578223i</v>
      </c>
      <c r="AG181" s="10">
        <f t="shared" si="36"/>
        <v>0.35416113901862278</v>
      </c>
      <c r="AH181" s="10">
        <f t="shared" si="37"/>
        <v>-2.2466739058063494</v>
      </c>
      <c r="AI181" s="10">
        <f t="shared" si="38"/>
        <v>-128.7249327448761</v>
      </c>
      <c r="AJ181" s="10">
        <f t="shared" si="39"/>
        <v>-9.015981885825461</v>
      </c>
      <c r="AL181" s="10" t="str">
        <f t="shared" si="42"/>
        <v>0.0324328778947324-0.0000451086741385576i</v>
      </c>
      <c r="AM181" s="10" t="str">
        <f t="shared" si="43"/>
        <v>0.0100244147021445-0.0694055195140831i</v>
      </c>
      <c r="AN181" s="10" t="str">
        <f t="shared" si="47"/>
        <v>-0.0232854965559799+0.162820874142635i</v>
      </c>
      <c r="AO181" s="10">
        <f t="shared" si="48"/>
        <v>0.16447751033630811</v>
      </c>
      <c r="AP181" s="10">
        <f t="shared" si="49"/>
        <v>1.7128460872631732</v>
      </c>
      <c r="AQ181" s="10">
        <f t="shared" si="50"/>
        <v>98.138851755676541</v>
      </c>
      <c r="AR181" s="10">
        <f t="shared" si="51"/>
        <v>-15.677869529302694</v>
      </c>
      <c r="AS181" s="10">
        <f t="shared" si="52"/>
        <v>-24.693851415128155</v>
      </c>
      <c r="AT181" s="10">
        <f t="shared" si="53"/>
        <v>-30.586080989199559</v>
      </c>
    </row>
    <row r="182" spans="25:46" x14ac:dyDescent="0.25">
      <c r="Y182" s="10">
        <v>180</v>
      </c>
      <c r="Z182" s="10">
        <f t="shared" si="44"/>
        <v>251188.64315095753</v>
      </c>
      <c r="AA182" s="10" t="str">
        <f t="shared" si="45"/>
        <v>1578264.79197647i</v>
      </c>
      <c r="AC182" s="10">
        <f>1/(2*$T$3+$T$6*$T$2/('4. Boost Inductor'!$B$11*$T$3^2)*($T$5-0.5))</f>
        <v>0.16903313049357674</v>
      </c>
      <c r="AD182" s="10" t="str">
        <f t="shared" si="40"/>
        <v>0.00403156104876968-0.000254408693706459i</v>
      </c>
      <c r="AE182" s="10" t="str">
        <f t="shared" si="41"/>
        <v>-1.63857663644583-2.09701616958939i</v>
      </c>
      <c r="AF182" s="10" t="str">
        <f t="shared" si="46"/>
        <v>-0.241363113161109-0.27171671961936i</v>
      </c>
      <c r="AG182" s="10">
        <f t="shared" si="36"/>
        <v>0.36343655308117839</v>
      </c>
      <c r="AH182" s="10">
        <f t="shared" si="37"/>
        <v>-2.2971037453045864</v>
      </c>
      <c r="AI182" s="10">
        <f t="shared" si="38"/>
        <v>-131.6143497096472</v>
      </c>
      <c r="AJ182" s="10">
        <f t="shared" si="39"/>
        <v>-8.7914279025238233</v>
      </c>
      <c r="AL182" s="10" t="str">
        <f t="shared" si="42"/>
        <v>0.0324328776233689-0.0000420978641548656i</v>
      </c>
      <c r="AM182" s="10" t="str">
        <f t="shared" si="43"/>
        <v>0.00939921237424816-0.0648139058773256i</v>
      </c>
      <c r="AN182" s="10" t="str">
        <f t="shared" si="47"/>
        <v>-0.0218481973083376+0.152047320657582i</v>
      </c>
      <c r="AO182" s="10">
        <f t="shared" si="48"/>
        <v>0.15360902136519719</v>
      </c>
      <c r="AP182" s="10">
        <f t="shared" si="49"/>
        <v>1.7135128227061012</v>
      </c>
      <c r="AQ182" s="10">
        <f t="shared" si="50"/>
        <v>98.177052882608081</v>
      </c>
      <c r="AR182" s="10">
        <f t="shared" si="51"/>
        <v>-16.271665554049338</v>
      </c>
      <c r="AS182" s="10">
        <f t="shared" si="52"/>
        <v>-25.063093456573164</v>
      </c>
      <c r="AT182" s="10">
        <f t="shared" si="53"/>
        <v>-33.43729682703912</v>
      </c>
    </row>
    <row r="183" spans="25:46" x14ac:dyDescent="0.25">
      <c r="Y183" s="10">
        <v>181</v>
      </c>
      <c r="Z183" s="10">
        <f t="shared" si="44"/>
        <v>269153.48039269098</v>
      </c>
      <c r="AA183" s="10" t="str">
        <f t="shared" si="45"/>
        <v>1691141.1933796i</v>
      </c>
      <c r="AC183" s="10">
        <f>1/(2*$T$3+$T$6*$T$2/('4. Boost Inductor'!$B$11*$T$3^2)*($T$5-0.5))</f>
        <v>0.16903313049357674</v>
      </c>
      <c r="AD183" s="10" t="str">
        <f t="shared" si="40"/>
        <v>0.00403155266323872-0.000237428009560716i</v>
      </c>
      <c r="AE183" s="10" t="str">
        <f t="shared" si="41"/>
        <v>-1.79213637334305-2.05517869434797i</v>
      </c>
      <c r="AF183" s="10" t="str">
        <f t="shared" si="46"/>
        <v>-0.260752168881974-0.265722034031299i</v>
      </c>
      <c r="AG183" s="10">
        <f t="shared" si="36"/>
        <v>0.37229006560259481</v>
      </c>
      <c r="AH183" s="10">
        <f t="shared" si="37"/>
        <v>-2.3467548680698522</v>
      </c>
      <c r="AI183" s="10">
        <f t="shared" si="38"/>
        <v>-134.45914949218286</v>
      </c>
      <c r="AJ183" s="10">
        <f t="shared" si="39"/>
        <v>-8.5823710517018963</v>
      </c>
      <c r="AL183" s="10" t="str">
        <f t="shared" si="42"/>
        <v>0.0324328773870213-0.0000392880127864928i</v>
      </c>
      <c r="AM183" s="10" t="str">
        <f t="shared" si="43"/>
        <v>0.00885404015476784-0.0605211456025743i</v>
      </c>
      <c r="AN183" s="10" t="str">
        <f t="shared" si="47"/>
        <v>-0.020594882064152+0.141975344555841i</v>
      </c>
      <c r="AO183" s="10">
        <f t="shared" si="48"/>
        <v>0.14346131056485611</v>
      </c>
      <c r="AP183" s="10">
        <f t="shared" si="49"/>
        <v>1.7148510888049595</v>
      </c>
      <c r="AQ183" s="10">
        <f t="shared" si="50"/>
        <v>98.253729881938114</v>
      </c>
      <c r="AR183" s="10">
        <f t="shared" si="51"/>
        <v>-16.865304121275344</v>
      </c>
      <c r="AS183" s="10">
        <f t="shared" si="52"/>
        <v>-25.447675172977242</v>
      </c>
      <c r="AT183" s="10">
        <f t="shared" si="53"/>
        <v>-36.205419610244746</v>
      </c>
    </row>
    <row r="184" spans="25:46" x14ac:dyDescent="0.25">
      <c r="Y184" s="10">
        <v>182</v>
      </c>
      <c r="Z184" s="10">
        <f t="shared" si="44"/>
        <v>288403.15031266044</v>
      </c>
      <c r="AA184" s="10" t="str">
        <f t="shared" si="45"/>
        <v>1812090.43658881i</v>
      </c>
      <c r="AC184" s="10">
        <f>1/(2*$T$3+$T$6*$T$2/('4. Boost Inductor'!$B$11*$T$3^2)*($T$5-0.5))</f>
        <v>0.16903313049357674</v>
      </c>
      <c r="AD184" s="10" t="str">
        <f t="shared" si="40"/>
        <v>0.00403154535974646-0.000221580712677071i</v>
      </c>
      <c r="AE184" s="10" t="str">
        <f t="shared" si="41"/>
        <v>-1.9410426284138-2.00250074400579i</v>
      </c>
      <c r="AF184" s="10" t="str">
        <f t="shared" si="46"/>
        <v>-0.279550944680355-0.258386577871699i</v>
      </c>
      <c r="AG184" s="10">
        <f t="shared" si="36"/>
        <v>0.38067355344957504</v>
      </c>
      <c r="AH184" s="10">
        <f t="shared" si="37"/>
        <v>-2.3955177495762525</v>
      </c>
      <c r="AI184" s="10">
        <f t="shared" si="38"/>
        <v>-137.25305679939612</v>
      </c>
      <c r="AJ184" s="10">
        <f t="shared" si="39"/>
        <v>-8.3889458779430299</v>
      </c>
      <c r="AL184" s="10" t="str">
        <f t="shared" si="42"/>
        <v>0.032432877181171-0.000036665706910562i</v>
      </c>
      <c r="AM184" s="10" t="str">
        <f t="shared" si="43"/>
        <v>0.00837872585104739-0.0565087057679601i</v>
      </c>
      <c r="AN184" s="10" t="str">
        <f t="shared" si="47"/>
        <v>-0.0195021656105622+0.132561369799137i</v>
      </c>
      <c r="AO184" s="10">
        <f t="shared" si="48"/>
        <v>0.13398825033011419</v>
      </c>
      <c r="AP184" s="10">
        <f t="shared" si="49"/>
        <v>1.7168665226362374</v>
      </c>
      <c r="AQ184" s="10">
        <f t="shared" si="50"/>
        <v>98.369205734358218</v>
      </c>
      <c r="AR184" s="10">
        <f t="shared" si="51"/>
        <v>-17.458665680543643</v>
      </c>
      <c r="AS184" s="10">
        <f t="shared" si="52"/>
        <v>-25.847611558486673</v>
      </c>
      <c r="AT184" s="10">
        <f t="shared" si="53"/>
        <v>-38.883851065037902</v>
      </c>
    </row>
    <row r="185" spans="25:46" x14ac:dyDescent="0.25">
      <c r="Y185" s="10">
        <v>183</v>
      </c>
      <c r="Z185" s="10">
        <f t="shared" si="44"/>
        <v>309029.54325135821</v>
      </c>
      <c r="AA185" s="10" t="str">
        <f t="shared" si="45"/>
        <v>1941689.88564135i</v>
      </c>
      <c r="AC185" s="10">
        <f>1/(2*$T$3+$T$6*$T$2/('4. Boost Inductor'!$B$11*$T$3^2)*($T$5-0.5))</f>
        <v>0.16903313049357674</v>
      </c>
      <c r="AD185" s="10" t="str">
        <f t="shared" si="40"/>
        <v>0.00403153899867053-0.000206791154400278i</v>
      </c>
      <c r="AE185" s="10" t="str">
        <f t="shared" si="41"/>
        <v>-2.08407927173903-1.93974612889657i</v>
      </c>
      <c r="AF185" s="10" t="str">
        <f t="shared" si="46"/>
        <v>-0.297605449681365-0.249803685182627i</v>
      </c>
      <c r="AG185" s="10">
        <f t="shared" ref="AG185:AG202" si="54">IMABS(AF185)</f>
        <v>0.38854971986975939</v>
      </c>
      <c r="AH185" s="10">
        <f t="shared" ref="AH185:AH202" si="55">IMARGUMENT(AF185)</f>
        <v>-2.4432971918331612</v>
      </c>
      <c r="AI185" s="10">
        <f t="shared" ref="AI185:AI202" si="56">AH185/(PI())*180</f>
        <v>-139.99061718820599</v>
      </c>
      <c r="AJ185" s="10">
        <f t="shared" ref="AJ185:AJ202" si="57">20*LOG(AG185,10)</f>
        <v>-8.2110679962850135</v>
      </c>
      <c r="AL185" s="10" t="str">
        <f t="shared" si="42"/>
        <v>0.0324328770018831-0.0000342184286723847i</v>
      </c>
      <c r="AM185" s="10" t="str">
        <f t="shared" si="43"/>
        <v>0.00796437280281406-0.0527590290608028i</v>
      </c>
      <c r="AN185" s="10" t="str">
        <f t="shared" si="47"/>
        <v>-0.0185495951023318+0.12376412796666i</v>
      </c>
      <c r="AO185" s="10">
        <f t="shared" si="48"/>
        <v>0.12514650154841822</v>
      </c>
      <c r="AP185" s="10">
        <f t="shared" si="49"/>
        <v>1.7195675505786494</v>
      </c>
      <c r="AQ185" s="10">
        <f t="shared" si="50"/>
        <v>98.52396323580534</v>
      </c>
      <c r="AR185" s="10">
        <f t="shared" si="51"/>
        <v>-18.051625730456539</v>
      </c>
      <c r="AS185" s="10">
        <f t="shared" si="52"/>
        <v>-26.262693726741553</v>
      </c>
      <c r="AT185" s="10">
        <f t="shared" si="53"/>
        <v>-41.466653952400648</v>
      </c>
    </row>
    <row r="186" spans="25:46" x14ac:dyDescent="0.25">
      <c r="Y186" s="10">
        <v>184</v>
      </c>
      <c r="Z186" s="10">
        <f t="shared" si="44"/>
        <v>331131.12148259068</v>
      </c>
      <c r="AA186" s="10" t="str">
        <f t="shared" si="45"/>
        <v>2080558.19724931i</v>
      </c>
      <c r="AC186" s="10">
        <f>1/(2*$T$3+$T$6*$T$2/('4. Boost Inductor'!$B$11*$T$3^2)*($T$5-0.5))</f>
        <v>0.16903313049357674</v>
      </c>
      <c r="AD186" s="10" t="str">
        <f t="shared" si="40"/>
        <v>0.00403153345840493-0.000192988735284371i</v>
      </c>
      <c r="AE186" s="10" t="str">
        <f t="shared" si="41"/>
        <v>-2.22021326865583-1.86782805310063i</v>
      </c>
      <c r="AF186" s="10" t="str">
        <f t="shared" si="46"/>
        <v>-0.314784781983675-0.240085704524782i</v>
      </c>
      <c r="AG186" s="10">
        <f t="shared" si="54"/>
        <v>0.3958921626979634</v>
      </c>
      <c r="AH186" s="10">
        <f t="shared" si="55"/>
        <v>-2.4900142714831404</v>
      </c>
      <c r="AI186" s="10">
        <f t="shared" si="56"/>
        <v>-142.66730868332633</v>
      </c>
      <c r="AJ186" s="10">
        <f t="shared" si="57"/>
        <v>-8.0484619139691933</v>
      </c>
      <c r="AL186" s="10" t="str">
        <f t="shared" si="42"/>
        <v>0.0324328768457297-0.0000319344957301719i</v>
      </c>
      <c r="AM186" s="10" t="str">
        <f t="shared" si="43"/>
        <v>0.00760320414435227-0.0492555166195684i</v>
      </c>
      <c r="AN186" s="10" t="str">
        <f t="shared" si="47"/>
        <v>-0.0177192920302224+0.115544614486166i</v>
      </c>
      <c r="AO186" s="10">
        <f t="shared" si="48"/>
        <v>0.11689538590897856</v>
      </c>
      <c r="AP186" s="10">
        <f t="shared" si="49"/>
        <v>1.7229653796761426</v>
      </c>
      <c r="AQ186" s="10">
        <f t="shared" si="50"/>
        <v>98.718644502598423</v>
      </c>
      <c r="AR186" s="10">
        <f t="shared" si="51"/>
        <v>-18.644052619161403</v>
      </c>
      <c r="AS186" s="10">
        <f t="shared" si="52"/>
        <v>-26.692514533130598</v>
      </c>
      <c r="AT186" s="10">
        <f t="shared" si="53"/>
        <v>-43.948664180727903</v>
      </c>
    </row>
    <row r="187" spans="25:46" x14ac:dyDescent="0.25">
      <c r="Y187" s="10">
        <v>185</v>
      </c>
      <c r="Z187" s="10">
        <f t="shared" si="44"/>
        <v>354813.38923357491</v>
      </c>
      <c r="AA187" s="10" t="str">
        <f t="shared" si="45"/>
        <v>2229358.27402299i</v>
      </c>
      <c r="AC187" s="10">
        <f>1/(2*$T$3+$T$6*$T$2/('4. Boost Inductor'!$B$11*$T$3^2)*($T$5-0.5))</f>
        <v>0.16903313049357674</v>
      </c>
      <c r="AD187" s="10" t="str">
        <f t="shared" si="40"/>
        <v>0.00403152863303528-0.000180107568082115i</v>
      </c>
      <c r="AE187" s="10" t="str">
        <f t="shared" si="41"/>
        <v>-2.34861323351337-1.78776191109556i</v>
      </c>
      <c r="AF187" s="10" t="str">
        <f t="shared" si="46"/>
        <v>-0.330983466834076-0.229358022845776i</v>
      </c>
      <c r="AG187" s="10">
        <f t="shared" si="54"/>
        <v>0.40268493634754626</v>
      </c>
      <c r="AH187" s="10">
        <f t="shared" si="55"/>
        <v>-2.5356077367879171</v>
      </c>
      <c r="AI187" s="10">
        <f t="shared" si="56"/>
        <v>-145.27962181866616</v>
      </c>
      <c r="AJ187" s="10">
        <f t="shared" si="57"/>
        <v>-7.9006923238433844</v>
      </c>
      <c r="AL187" s="10" t="str">
        <f t="shared" si="42"/>
        <v>0.0324328767097258-0.0000298030054881552i</v>
      </c>
      <c r="AM187" s="10" t="str">
        <f t="shared" si="43"/>
        <v>0.00728842505660913-0.0459825033232488i</v>
      </c>
      <c r="AN187" s="10" t="str">
        <f t="shared" si="47"/>
        <v>-0.0169956355471819+0.10786602779107i</v>
      </c>
      <c r="AO187" s="10">
        <f t="shared" si="48"/>
        <v>0.10919675626627615</v>
      </c>
      <c r="AP187" s="10">
        <f t="shared" si="49"/>
        <v>1.7270739824291275</v>
      </c>
      <c r="AQ187" s="10">
        <f t="shared" si="50"/>
        <v>98.954050100040305</v>
      </c>
      <c r="AR187" s="10">
        <f t="shared" si="51"/>
        <v>-19.235805246651335</v>
      </c>
      <c r="AS187" s="10">
        <f t="shared" si="52"/>
        <v>-27.136497570494718</v>
      </c>
      <c r="AT187" s="10">
        <f t="shared" si="53"/>
        <v>-46.325571718625852</v>
      </c>
    </row>
    <row r="188" spans="25:46" x14ac:dyDescent="0.25">
      <c r="Y188" s="10">
        <v>186</v>
      </c>
      <c r="Z188" s="10">
        <f t="shared" si="44"/>
        <v>380189.39632056118</v>
      </c>
      <c r="AA188" s="10" t="str">
        <f t="shared" si="45"/>
        <v>2388800.42890683i</v>
      </c>
      <c r="AC188" s="10">
        <f>1/(2*$T$3+$T$6*$T$2/('4. Boost Inductor'!$B$11*$T$3^2)*($T$5-0.5))</f>
        <v>0.16903313049357674</v>
      </c>
      <c r="AD188" s="10" t="str">
        <f t="shared" si="40"/>
        <v>0.00403152443031394-0.000168086163227998i</v>
      </c>
      <c r="AE188" s="10" t="str">
        <f t="shared" si="41"/>
        <v>-2.46865523861787-1.70061758707554i</v>
      </c>
      <c r="AF188" s="10" t="str">
        <f t="shared" si="46"/>
        <v>-0.346122183564571-0.217753027772975i</v>
      </c>
      <c r="AG188" s="10">
        <f t="shared" si="54"/>
        <v>0.40892168817489322</v>
      </c>
      <c r="AH188" s="10">
        <f t="shared" si="55"/>
        <v>-2.5800348020704078</v>
      </c>
      <c r="AI188" s="10">
        <f t="shared" si="56"/>
        <v>-147.82510515550507</v>
      </c>
      <c r="AJ188" s="10">
        <f t="shared" si="57"/>
        <v>-7.7671970990187926</v>
      </c>
      <c r="AL188" s="10" t="str">
        <f t="shared" si="42"/>
        <v>0.0324328765912712-0.0000278137830519022i</v>
      </c>
      <c r="AM188" s="10" t="str">
        <f t="shared" si="43"/>
        <v>0.00701410118578071-0.0429252275797834i</v>
      </c>
      <c r="AN188" s="10" t="str">
        <f t="shared" si="47"/>
        <v>-0.0163649829603176+0.100693696100714i</v>
      </c>
      <c r="AO188" s="10">
        <f t="shared" si="48"/>
        <v>0.10201486706218085</v>
      </c>
      <c r="AP188" s="10">
        <f t="shared" si="49"/>
        <v>1.7319100724384326</v>
      </c>
      <c r="AQ188" s="10">
        <f t="shared" si="50"/>
        <v>99.231137646918867</v>
      </c>
      <c r="AR188" s="10">
        <f t="shared" si="51"/>
        <v>-19.826730640729412</v>
      </c>
      <c r="AS188" s="10">
        <f t="shared" si="52"/>
        <v>-27.593927739748203</v>
      </c>
      <c r="AT188" s="10">
        <f t="shared" si="53"/>
        <v>-48.593967508586204</v>
      </c>
    </row>
    <row r="189" spans="25:46" x14ac:dyDescent="0.25">
      <c r="Y189" s="10">
        <v>187</v>
      </c>
      <c r="Z189" s="10">
        <f t="shared" si="44"/>
        <v>407380.27780411189</v>
      </c>
      <c r="AA189" s="10" t="str">
        <f t="shared" si="45"/>
        <v>2559645.77593353i</v>
      </c>
      <c r="AC189" s="10">
        <f>1/(2*$T$3+$T$6*$T$2/('4. Boost Inductor'!$B$11*$T$3^2)*($T$5-0.5))</f>
        <v>0.16903313049357674</v>
      </c>
      <c r="AD189" s="10" t="str">
        <f t="shared" si="40"/>
        <v>0.00403152076989667-0.000156867135313519i</v>
      </c>
      <c r="AE189" s="10" t="str">
        <f t="shared" si="41"/>
        <v>-2.57991706450612-1.60747469169147i</v>
      </c>
      <c r="AF189" s="10" t="str">
        <f t="shared" si="46"/>
        <v>-0.360147031106893-0.205404442440225i</v>
      </c>
      <c r="AG189" s="10">
        <f t="shared" si="54"/>
        <v>0.41460447294896502</v>
      </c>
      <c r="AH189" s="10">
        <f t="shared" si="55"/>
        <v>-2.6232713427793186</v>
      </c>
      <c r="AI189" s="10">
        <f t="shared" si="56"/>
        <v>-150.30237645887124</v>
      </c>
      <c r="AJ189" s="10">
        <f t="shared" si="57"/>
        <v>-7.6473203368559615</v>
      </c>
      <c r="AL189" s="10" t="str">
        <f t="shared" si="42"/>
        <v>0.0324328764881018-0.00002595733265739i</v>
      </c>
      <c r="AM189" s="10" t="str">
        <f t="shared" si="43"/>
        <v>0.0067750515235459-0.0400697972616897i</v>
      </c>
      <c r="AN189" s="10" t="str">
        <f t="shared" si="47"/>
        <v>-0.0158154234693298+0.0939949955948337i</v>
      </c>
      <c r="AO189" s="10">
        <f t="shared" si="48"/>
        <v>9.531624634020705E-2</v>
      </c>
      <c r="AP189" s="10">
        <f t="shared" si="49"/>
        <v>1.7374930675252618</v>
      </c>
      <c r="AQ189" s="10">
        <f t="shared" si="50"/>
        <v>99.551019702436463</v>
      </c>
      <c r="AR189" s="10">
        <f t="shared" si="51"/>
        <v>-20.416661379770972</v>
      </c>
      <c r="AS189" s="10">
        <f t="shared" si="52"/>
        <v>-28.063981716626934</v>
      </c>
      <c r="AT189" s="10">
        <f t="shared" si="53"/>
        <v>-50.751356756434774</v>
      </c>
    </row>
    <row r="190" spans="25:46" x14ac:dyDescent="0.25">
      <c r="Y190" s="10">
        <v>188</v>
      </c>
      <c r="Z190" s="10">
        <f t="shared" si="44"/>
        <v>436515.83224016492</v>
      </c>
      <c r="AA190" s="10" t="str">
        <f t="shared" si="45"/>
        <v>2742709.86348267i</v>
      </c>
      <c r="AC190" s="10">
        <f>1/(2*$T$3+$T$6*$T$2/('4. Boost Inductor'!$B$11*$T$3^2)*($T$5-0.5))</f>
        <v>0.16903313049357674</v>
      </c>
      <c r="AD190" s="10" t="str">
        <f t="shared" si="40"/>
        <v>0.00403151758180647-0.000146396929153661i</v>
      </c>
      <c r="AE190" s="10" t="str">
        <f t="shared" si="41"/>
        <v>-2.68216292833279-1.50938337733379i</v>
      </c>
      <c r="AF190" s="10" t="str">
        <f t="shared" si="46"/>
        <v>-0.373027589391495-0.192442366707569i</v>
      </c>
      <c r="AG190" s="10">
        <f t="shared" si="54"/>
        <v>0.41974235782351088</v>
      </c>
      <c r="AH190" s="10">
        <f t="shared" si="55"/>
        <v>-2.6653115398426728</v>
      </c>
      <c r="AI190" s="10">
        <f t="shared" si="56"/>
        <v>-152.71110232049972</v>
      </c>
      <c r="AJ190" s="10">
        <f t="shared" si="57"/>
        <v>-7.5403440448485446</v>
      </c>
      <c r="AL190" s="10" t="str">
        <f t="shared" si="42"/>
        <v>0.0324328763982451-0.0000242247923419772i</v>
      </c>
      <c r="AM190" s="10" t="str">
        <f t="shared" si="43"/>
        <v>0.00656675417440873-0.0374031531037966i</v>
      </c>
      <c r="AN190" s="10" t="str">
        <f t="shared" si="47"/>
        <v>-0.0153365615316242+0.0877392629882328i</v>
      </c>
      <c r="AO190" s="10">
        <f t="shared" si="48"/>
        <v>8.9069570501555548E-2</v>
      </c>
      <c r="AP190" s="10">
        <f t="shared" si="49"/>
        <v>1.7438450360646236</v>
      </c>
      <c r="AQ190" s="10">
        <f t="shared" si="50"/>
        <v>99.914960691341761</v>
      </c>
      <c r="AR190" s="10">
        <f t="shared" si="51"/>
        <v>-21.005412837429908</v>
      </c>
      <c r="AS190" s="10">
        <f t="shared" si="52"/>
        <v>-28.545756882278454</v>
      </c>
      <c r="AT190" s="10">
        <f t="shared" si="53"/>
        <v>-52.796141629157958</v>
      </c>
    </row>
    <row r="191" spans="25:46" x14ac:dyDescent="0.25">
      <c r="Y191" s="10">
        <v>189</v>
      </c>
      <c r="Z191" s="10">
        <f t="shared" si="44"/>
        <v>467735.14128719777</v>
      </c>
      <c r="AA191" s="10" t="str">
        <f t="shared" si="45"/>
        <v>2938866.56738729i</v>
      </c>
      <c r="AC191" s="10">
        <f>1/(2*$T$3+$T$6*$T$2/('4. Boost Inductor'!$B$11*$T$3^2)*($T$5-0.5))</f>
        <v>0.16903313049357674</v>
      </c>
      <c r="AD191" s="10" t="str">
        <f t="shared" si="40"/>
        <v>0.00403151480509597-0.000136625564137031i</v>
      </c>
      <c r="AE191" s="10" t="str">
        <f t="shared" si="41"/>
        <v>-2.77532119096183-1.4073324321993i</v>
      </c>
      <c r="AF191" s="10" t="str">
        <f t="shared" si="46"/>
        <v>-0.384754092553643-0.178989239781156i</v>
      </c>
      <c r="AG191" s="10">
        <f t="shared" si="54"/>
        <v>0.42434992599765281</v>
      </c>
      <c r="AH191" s="10">
        <f t="shared" si="55"/>
        <v>-2.7061670546315759</v>
      </c>
      <c r="AI191" s="10">
        <f t="shared" si="56"/>
        <v>-155.05195088773817</v>
      </c>
      <c r="AJ191" s="10">
        <f t="shared" si="57"/>
        <v>-7.4455173844779754</v>
      </c>
      <c r="AL191" s="10" t="str">
        <f t="shared" si="42"/>
        <v>0.032432876319983-0.0000226078916408928i</v>
      </c>
      <c r="AM191" s="10" t="str">
        <f t="shared" si="43"/>
        <v>0.00638526356995995-0.0349130306040199i</v>
      </c>
      <c r="AN191" s="10" t="str">
        <f t="shared" si="47"/>
        <v>-0.014919326543187+0.0818977048830516i</v>
      </c>
      <c r="AO191" s="10">
        <f t="shared" si="48"/>
        <v>8.3245542641114778E-2</v>
      </c>
      <c r="AP191" s="10">
        <f t="shared" si="49"/>
        <v>1.7509906212878241</v>
      </c>
      <c r="AQ191" s="10">
        <f t="shared" si="50"/>
        <v>100.32437256678219</v>
      </c>
      <c r="AR191" s="10">
        <f t="shared" si="51"/>
        <v>-21.592780227470179</v>
      </c>
      <c r="AS191" s="10">
        <f t="shared" si="52"/>
        <v>-29.038297611948153</v>
      </c>
      <c r="AT191" s="10">
        <f t="shared" si="53"/>
        <v>-54.727578320955985</v>
      </c>
    </row>
    <row r="192" spans="25:46" x14ac:dyDescent="0.25">
      <c r="Y192" s="10">
        <v>190</v>
      </c>
      <c r="Z192" s="10">
        <f t="shared" si="44"/>
        <v>501187.23362727172</v>
      </c>
      <c r="AA192" s="10" t="str">
        <f t="shared" si="45"/>
        <v>3149052.26247286i</v>
      </c>
      <c r="AC192" s="10">
        <f>1/(2*$T$3+$T$6*$T$2/('4. Boost Inductor'!$B$11*$T$3^2)*($T$5-0.5))</f>
        <v>0.16903313049357674</v>
      </c>
      <c r="AD192" s="10" t="str">
        <f t="shared" si="40"/>
        <v>0.00403151238668221-0.000127506395639311i</v>
      </c>
      <c r="AE192" s="10" t="str">
        <f t="shared" si="41"/>
        <v>-2.85945764036731-1.30222542506957i</v>
      </c>
      <c r="AF192" s="10" t="str">
        <f t="shared" si="46"/>
        <v>-0.39533404214315-0.16515682198154i</v>
      </c>
      <c r="AG192" s="10">
        <f t="shared" si="54"/>
        <v>0.42844577337661294</v>
      </c>
      <c r="AH192" s="10">
        <f t="shared" si="55"/>
        <v>-2.7458658345020299</v>
      </c>
      <c r="AI192" s="10">
        <f t="shared" si="56"/>
        <v>-157.32652342613409</v>
      </c>
      <c r="AJ192" s="10">
        <f t="shared" si="57"/>
        <v>-7.3620827426607125</v>
      </c>
      <c r="AL192" s="10" t="str">
        <f t="shared" si="42"/>
        <v>0.0324328762518196-0.0000210989121073019i</v>
      </c>
      <c r="AM192" s="10" t="str">
        <f t="shared" si="43"/>
        <v>0.00622713782297091-0.0325879212438939i</v>
      </c>
      <c r="AN192" s="10" t="str">
        <f t="shared" si="47"/>
        <v>-0.0145558058303052+0.0764433057615439i</v>
      </c>
      <c r="AO192" s="10">
        <f t="shared" si="48"/>
        <v>7.7816775049615358E-2</v>
      </c>
      <c r="AP192" s="10">
        <f t="shared" si="49"/>
        <v>1.7589569372263461</v>
      </c>
      <c r="AQ192" s="10">
        <f t="shared" si="50"/>
        <v>100.78080884832731</v>
      </c>
      <c r="AR192" s="10">
        <f t="shared" si="51"/>
        <v>-22.17853543136977</v>
      </c>
      <c r="AS192" s="10">
        <f t="shared" si="52"/>
        <v>-29.540618174030485</v>
      </c>
      <c r="AT192" s="10">
        <f t="shared" si="53"/>
        <v>-56.545714577806777</v>
      </c>
    </row>
    <row r="193" spans="25:46" x14ac:dyDescent="0.25">
      <c r="Y193" s="10">
        <v>191</v>
      </c>
      <c r="Z193" s="10">
        <f t="shared" si="44"/>
        <v>537031.79637025192</v>
      </c>
      <c r="AA193" s="10" t="str">
        <f t="shared" si="45"/>
        <v>3374270.29244183i</v>
      </c>
      <c r="AC193" s="10">
        <f>1/(2*$T$3+$T$6*$T$2/('4. Boost Inductor'!$B$11*$T$3^2)*($T$5-0.5))</f>
        <v>0.16903313049357674</v>
      </c>
      <c r="AD193" s="10" t="str">
        <f t="shared" si="40"/>
        <v>0.00403151028033188-0.000118995892361171i</v>
      </c>
      <c r="AE193" s="10" t="str">
        <f t="shared" si="41"/>
        <v>-2.93474675319784-1.19486487615703i</v>
      </c>
      <c r="AF193" s="10" t="str">
        <f t="shared" si="46"/>
        <v>-0.404788563822753-0.151044192802019i</v>
      </c>
      <c r="AG193" s="10">
        <f t="shared" si="54"/>
        <v>0.43205107288479272</v>
      </c>
      <c r="AH193" s="10">
        <f t="shared" si="55"/>
        <v>-2.7844506545051595</v>
      </c>
      <c r="AI193" s="10">
        <f t="shared" si="56"/>
        <v>-159.53727076558539</v>
      </c>
      <c r="AJ193" s="10">
        <f t="shared" si="57"/>
        <v>-7.2892982414333876</v>
      </c>
      <c r="AL193" s="10" t="str">
        <f t="shared" si="42"/>
        <v>0.0324328761924517-0.0000196906504674854i</v>
      </c>
      <c r="AM193" s="10" t="str">
        <f t="shared" si="43"/>
        <v>0.00608937504254419-0.0304170336628813i</v>
      </c>
      <c r="AN193" s="10" t="str">
        <f t="shared" si="47"/>
        <v>-0.0142390982421952+0.0713507360632847i</v>
      </c>
      <c r="AO193" s="10">
        <f t="shared" si="48"/>
        <v>7.2757676265280777E-2</v>
      </c>
      <c r="AP193" s="10">
        <f t="shared" si="49"/>
        <v>1.7677734287873215</v>
      </c>
      <c r="AQ193" s="10">
        <f t="shared" si="50"/>
        <v>101.28595660488392</v>
      </c>
      <c r="AR193" s="10">
        <f t="shared" si="51"/>
        <v>-22.762423597691001</v>
      </c>
      <c r="AS193" s="10">
        <f t="shared" si="52"/>
        <v>-30.05172183912439</v>
      </c>
      <c r="AT193" s="10">
        <f t="shared" si="53"/>
        <v>-58.251314160701469</v>
      </c>
    </row>
    <row r="194" spans="25:46" x14ac:dyDescent="0.25">
      <c r="Y194" s="10">
        <v>192</v>
      </c>
      <c r="Z194" s="10">
        <f t="shared" si="44"/>
        <v>575439.93733715592</v>
      </c>
      <c r="AA194" s="10" t="str">
        <f t="shared" si="45"/>
        <v>3615595.75944116i</v>
      </c>
      <c r="AC194" s="10">
        <f>1/(2*$T$3+$T$6*$T$2/('4. Boost Inductor'!$B$11*$T$3^2)*($T$5-0.5))</f>
        <v>0.16903313049357674</v>
      </c>
      <c r="AD194" s="10" t="str">
        <f t="shared" ref="AD194:AD202" si="58">IMDIV(IMSUM(1,IMDIV(AA194,$W$3)),IMSUM(1,IMDIV(AA194,$W$5)))</f>
        <v>0.00403150844577742-0.000111053428527797i</v>
      </c>
      <c r="AE194" s="10" t="str">
        <f t="shared" ref="AE194:AE202" si="59">IMDIV(IMSUM(1,IMDIV(IMPRODUCT(-1,AA194),$W$4)),IMSUM(1,IMDIV(AA194,$W$1*$W$2),IMDIV(IMPOWER(AA194,2),$W$1^2)))</f>
        <v>-3.00144294761919-1.08594383207461i</v>
      </c>
      <c r="AF194" s="10" t="str">
        <f t="shared" si="46"/>
        <v>-0.413148761953561-0.13673668697718i</v>
      </c>
      <c r="AG194" s="10">
        <f t="shared" si="54"/>
        <v>0.43518825934215594</v>
      </c>
      <c r="AH194" s="10">
        <f t="shared" si="55"/>
        <v>-2.8219774958760597</v>
      </c>
      <c r="AI194" s="10">
        <f t="shared" si="56"/>
        <v>-161.6874003945949</v>
      </c>
      <c r="AJ194" s="10">
        <f t="shared" si="57"/>
        <v>-7.2264565939408634</v>
      </c>
      <c r="AL194" s="10" t="str">
        <f t="shared" ref="AL194:AL202" si="60">IMDIV(IMSUM(1,IMDIV(AA194,wz1e)),IMSUM(1,IMDIV(AA194,wp1e)))</f>
        <v>0.0324328761407445-0.0000183763842352531i</v>
      </c>
      <c r="AM194" s="10" t="str">
        <f t="shared" ref="AM194:AM202" si="61">IMDIV(IMSUM(1,IMDIV(AA194,wz2e)),IMSUM(1,IMDIV(AA194,wp2e)))</f>
        <v>0.00596935755281058-0.0283902552722389i</v>
      </c>
      <c r="AN194" s="10" t="str">
        <f t="shared" si="47"/>
        <v>-0.0139631859133855+0.0665962614508401i</v>
      </c>
      <c r="AO194" s="10">
        <f t="shared" si="48"/>
        <v>6.8044342895500279E-2</v>
      </c>
      <c r="AP194" s="10">
        <f t="shared" si="49"/>
        <v>1.7774716871855294</v>
      </c>
      <c r="AQ194" s="10">
        <f t="shared" si="50"/>
        <v>101.84162587972853</v>
      </c>
      <c r="AR194" s="10">
        <f t="shared" si="51"/>
        <v>-23.344159511018752</v>
      </c>
      <c r="AS194" s="10">
        <f t="shared" si="52"/>
        <v>-30.570616104959615</v>
      </c>
      <c r="AT194" s="10">
        <f t="shared" si="53"/>
        <v>-59.845774514866378</v>
      </c>
    </row>
    <row r="195" spans="25:46" x14ac:dyDescent="0.25">
      <c r="Y195" s="10">
        <v>193</v>
      </c>
      <c r="Z195" s="10">
        <f t="shared" ref="Z195:Z202" si="62">10^(LOG($F$3/$F$2,10)*Y195/200)</f>
        <v>616595.00186148204</v>
      </c>
      <c r="AA195" s="10" t="str">
        <f t="shared" ref="AA195:AA202" si="63">IMPRODUCT(COMPLEX(0,1),2*PI()*Z195)</f>
        <v>3874180.65617643i</v>
      </c>
      <c r="AC195" s="10">
        <f>1/(2*$T$3+$T$6*$T$2/('4. Boost Inductor'!$B$11*$T$3^2)*($T$5-0.5))</f>
        <v>0.16903313049357674</v>
      </c>
      <c r="AD195" s="10" t="str">
        <f t="shared" si="58"/>
        <v>0.00403150684794727-0.000103641089958089i</v>
      </c>
      <c r="AE195" s="10" t="str">
        <f t="shared" si="59"/>
        <v>-3.05985335919148-0.976043843948545i</v>
      </c>
      <c r="AF195" s="10" t="str">
        <f t="shared" ref="AF195:AF202" si="64">IMPRODUCT(AB$2,AC195,AD195,AE195)</f>
        <v>-0.420452265690623-0.122305642444787i</v>
      </c>
      <c r="AG195" s="10">
        <f t="shared" si="54"/>
        <v>0.43787986697062281</v>
      </c>
      <c r="AH195" s="10">
        <f t="shared" si="55"/>
        <v>-2.858513849415369</v>
      </c>
      <c r="AI195" s="10">
        <f t="shared" si="56"/>
        <v>-163.78077925119518</v>
      </c>
      <c r="AJ195" s="10">
        <f t="shared" si="57"/>
        <v>-7.1729004505566385</v>
      </c>
      <c r="AL195" s="10" t="str">
        <f t="shared" si="60"/>
        <v>0.0324328760957093-0.0000171498396214462i</v>
      </c>
      <c r="AM195" s="10" t="str">
        <f t="shared" si="61"/>
        <v>0.00586480307057042-0.0264981146744747i</v>
      </c>
      <c r="AN195" s="10" t="str">
        <f t="shared" ref="AN195:AN202" si="65">IMPRODUCT($AK$2,AL195,AM195)</f>
        <v>-0.0137228220242721+0.0621576540934967i</v>
      </c>
      <c r="AO195" s="10">
        <f t="shared" ref="AO195:AO202" si="66">IMABS(AN195)</f>
        <v>6.3654456298963352E-2</v>
      </c>
      <c r="AP195" s="10">
        <f t="shared" ref="AP195:AP202" si="67">IMARGUMENT(AN195)</f>
        <v>1.7880852106413394</v>
      </c>
      <c r="AQ195" s="10">
        <f t="shared" ref="AQ195:AQ202" si="68">AP195/(PI())*180</f>
        <v>102.44973597950954</v>
      </c>
      <c r="AR195" s="10">
        <f t="shared" ref="AR195:AR202" si="69">20*LOG(AO195,10)</f>
        <v>-23.923423740189733</v>
      </c>
      <c r="AS195" s="10">
        <f t="shared" ref="AS195:AS202" si="70">AR195+AJ195</f>
        <v>-31.096324190746373</v>
      </c>
      <c r="AT195" s="10">
        <f t="shared" ref="AT195:AT202" si="71">AQ195+AI195</f>
        <v>-61.331043271685644</v>
      </c>
    </row>
    <row r="196" spans="25:46" x14ac:dyDescent="0.25">
      <c r="Y196" s="10">
        <v>194</v>
      </c>
      <c r="Z196" s="10">
        <f t="shared" si="62"/>
        <v>660693.44800759444</v>
      </c>
      <c r="AA196" s="10" t="str">
        <f t="shared" si="63"/>
        <v>4151259.36507114i</v>
      </c>
      <c r="AC196" s="10">
        <f>1/(2*$T$3+$T$6*$T$2/('4. Boost Inductor'!$B$11*$T$3^2)*($T$5-0.5))</f>
        <v>0.16903313049357674</v>
      </c>
      <c r="AD196" s="10" t="str">
        <f t="shared" si="58"/>
        <v>0.00403150545629539-0.0000967234930778249i</v>
      </c>
      <c r="AE196" s="10" t="str">
        <f t="shared" si="59"/>
        <v>-3.11031318134002-0.865638169219642i</v>
      </c>
      <c r="AF196" s="10" t="str">
        <f t="shared" si="64"/>
        <v>-0.426740098337667-0.107808811593013i</v>
      </c>
      <c r="AG196" s="10">
        <f t="shared" si="54"/>
        <v>0.44014753365927145</v>
      </c>
      <c r="AH196" s="10">
        <f t="shared" si="55"/>
        <v>-2.8941370149726313</v>
      </c>
      <c r="AI196" s="10">
        <f t="shared" si="56"/>
        <v>-165.8218362905221</v>
      </c>
      <c r="AJ196" s="10">
        <f t="shared" si="57"/>
        <v>-7.1280345468876662</v>
      </c>
      <c r="AL196" s="10" t="str">
        <f t="shared" si="60"/>
        <v>0.0324328760564854-0.0000160051615853421i</v>
      </c>
      <c r="AM196" s="10" t="str">
        <f t="shared" si="61"/>
        <v>0.00577372200119966-0.0247317451581404i</v>
      </c>
      <c r="AN196" s="10" t="str">
        <f t="shared" si="65"/>
        <v>-0.0135134326271742+0.0580141065780851i</v>
      </c>
      <c r="AO196" s="10">
        <f t="shared" si="66"/>
        <v>5.9567184115270996E-2</v>
      </c>
      <c r="AP196" s="10">
        <f t="shared" si="67"/>
        <v>1.7996490989456251</v>
      </c>
      <c r="AQ196" s="10">
        <f t="shared" si="68"/>
        <v>103.11229797410581</v>
      </c>
      <c r="AR196" s="10">
        <f t="shared" si="69"/>
        <v>-24.499858591309756</v>
      </c>
      <c r="AS196" s="10">
        <f t="shared" si="70"/>
        <v>-31.627893138197422</v>
      </c>
      <c r="AT196" s="10">
        <f t="shared" si="71"/>
        <v>-62.709538316416285</v>
      </c>
    </row>
    <row r="197" spans="25:46" x14ac:dyDescent="0.25">
      <c r="Y197" s="10">
        <v>195</v>
      </c>
      <c r="Z197" s="10">
        <f t="shared" si="62"/>
        <v>707945.78438413737</v>
      </c>
      <c r="AA197" s="10" t="str">
        <f t="shared" si="63"/>
        <v>4448154.55072214i</v>
      </c>
      <c r="AC197" s="10">
        <f>1/(2*$T$3+$T$6*$T$2/('4. Boost Inductor'!$B$11*$T$3^2)*($T$5-0.5))</f>
        <v>0.16903313049357674</v>
      </c>
      <c r="AD197" s="10" t="str">
        <f t="shared" si="58"/>
        <v>0.00403150424421725-0.0000902676160128419i</v>
      </c>
      <c r="AE197" s="10" t="str">
        <f t="shared" si="59"/>
        <v>-3.1531641719996-0.755099000232196i</v>
      </c>
      <c r="AF197" s="10" t="str">
        <f t="shared" si="64"/>
        <v>-0.432053946204692-0.0932912850418117i</v>
      </c>
      <c r="AG197" s="10">
        <f t="shared" si="54"/>
        <v>0.44201117213912078</v>
      </c>
      <c r="AH197" s="10">
        <f t="shared" si="55"/>
        <v>-2.9289324496124984</v>
      </c>
      <c r="AI197" s="10">
        <f t="shared" si="56"/>
        <v>-167.81546784170979</v>
      </c>
      <c r="AJ197" s="10">
        <f t="shared" si="57"/>
        <v>-7.0913350683551801</v>
      </c>
      <c r="AL197" s="10" t="str">
        <f t="shared" si="60"/>
        <v>0.0324328760223228-0.0000149368858849987i</v>
      </c>
      <c r="AM197" s="10" t="str">
        <f t="shared" si="61"/>
        <v>0.00569438010692415-0.0230828494606758i</v>
      </c>
      <c r="AN197" s="10" t="str">
        <f t="shared" si="65"/>
        <v>-0.0133310308231206+0.0541461488795826i</v>
      </c>
      <c r="AO197" s="10">
        <f t="shared" si="66"/>
        <v>5.5763086547436704E-2</v>
      </c>
      <c r="AP197" s="10">
        <f t="shared" si="67"/>
        <v>1.8121996692811011</v>
      </c>
      <c r="AQ197" s="10">
        <f t="shared" si="68"/>
        <v>103.83139268481067</v>
      </c>
      <c r="AR197" s="10">
        <f t="shared" si="69"/>
        <v>-25.073063911464587</v>
      </c>
      <c r="AS197" s="10">
        <f t="shared" si="70"/>
        <v>-32.164398979819765</v>
      </c>
      <c r="AT197" s="10">
        <f t="shared" si="71"/>
        <v>-63.984075156899124</v>
      </c>
    </row>
    <row r="198" spans="25:46" x14ac:dyDescent="0.25">
      <c r="Y198" s="10">
        <v>196</v>
      </c>
      <c r="Z198" s="10">
        <f t="shared" si="62"/>
        <v>758577.57502918295</v>
      </c>
      <c r="AA198" s="10" t="str">
        <f t="shared" si="63"/>
        <v>4766283.47377928i</v>
      </c>
      <c r="AC198" s="10">
        <f>1/(2*$T$3+$T$6*$T$2/('4. Boost Inductor'!$B$11*$T$3^2)*($T$5-0.5))</f>
        <v>0.16903313049357674</v>
      </c>
      <c r="AD198" s="10" t="str">
        <f t="shared" si="58"/>
        <v>0.00403150318854137-0.0000842426409559697i</v>
      </c>
      <c r="AE198" s="10" t="str">
        <f t="shared" si="59"/>
        <v>-3.18873657192455-0.644707618473942i</v>
      </c>
      <c r="AF198" s="10" t="str">
        <f t="shared" si="64"/>
        <v>-0.43643385833526-0.0787867893652062i</v>
      </c>
      <c r="AG198" s="10">
        <f t="shared" si="54"/>
        <v>0.44348829847007143</v>
      </c>
      <c r="AH198" s="10">
        <f t="shared" si="55"/>
        <v>-2.9629921987393031</v>
      </c>
      <c r="AI198" s="10">
        <f t="shared" si="56"/>
        <v>-169.76694771795013</v>
      </c>
      <c r="AJ198" s="10">
        <f t="shared" si="57"/>
        <v>-7.062356692605448</v>
      </c>
      <c r="AL198" s="10" t="str">
        <f t="shared" si="60"/>
        <v>0.0324328759925685-0.0000139399129931176i</v>
      </c>
      <c r="AM198" s="10" t="str">
        <f t="shared" si="61"/>
        <v>0.00562526588737943-0.021543665930738i</v>
      </c>
      <c r="AN198" s="10" t="str">
        <f t="shared" si="65"/>
        <v>-0.0131721417718783+0.0505355686839979i</v>
      </c>
      <c r="AO198" s="10">
        <f t="shared" si="66"/>
        <v>5.2224027239131325E-2</v>
      </c>
      <c r="AP198" s="10">
        <f t="shared" si="67"/>
        <v>1.8257739797053552</v>
      </c>
      <c r="AQ198" s="10">
        <f t="shared" si="68"/>
        <v>104.60914338192086</v>
      </c>
      <c r="AR198" s="10">
        <f t="shared" si="69"/>
        <v>-25.642592814837041</v>
      </c>
      <c r="AS198" s="10">
        <f t="shared" si="70"/>
        <v>-32.704949507442493</v>
      </c>
      <c r="AT198" s="10">
        <f t="shared" si="71"/>
        <v>-65.157804336029272</v>
      </c>
    </row>
    <row r="199" spans="25:46" x14ac:dyDescent="0.25">
      <c r="Y199" s="10">
        <v>197</v>
      </c>
      <c r="Z199" s="10">
        <f t="shared" si="62"/>
        <v>812830.51616409956</v>
      </c>
      <c r="AA199" s="10" t="str">
        <f t="shared" si="63"/>
        <v>5107164.75638947i</v>
      </c>
      <c r="AC199" s="10">
        <f>1/(2*$T$3+$T$6*$T$2/('4. Boost Inductor'!$B$11*$T$3^2)*($T$5-0.5))</f>
        <v>0.16903313049357674</v>
      </c>
      <c r="AD199" s="10" t="str">
        <f t="shared" si="58"/>
        <v>0.00403150226908608-0.0000786198070552352i</v>
      </c>
      <c r="AE199" s="10" t="str">
        <f t="shared" si="59"/>
        <v>-3.21733442032595-0.53466653613598i</v>
      </c>
      <c r="AF199" s="10" t="str">
        <f t="shared" si="64"/>
        <v>-0.439916375789815-0.064319240780203i</v>
      </c>
      <c r="AG199" s="10">
        <f t="shared" si="54"/>
        <v>0.44459350245205731</v>
      </c>
      <c r="AH199" s="10">
        <f t="shared" si="55"/>
        <v>-2.9964134278343395</v>
      </c>
      <c r="AI199" s="10">
        <f t="shared" si="56"/>
        <v>-171.68184309123552</v>
      </c>
      <c r="AJ199" s="10">
        <f t="shared" si="57"/>
        <v>-7.0407377724543458</v>
      </c>
      <c r="AL199" s="10" t="str">
        <f t="shared" si="60"/>
        <v>0.0324328759666534-0.0000130094837539113i</v>
      </c>
      <c r="AM199" s="10" t="str">
        <f t="shared" si="61"/>
        <v>0.00556506208960308-0.0201069361729985i</v>
      </c>
      <c r="AN199" s="10" t="str">
        <f t="shared" si="65"/>
        <v>-0.0130337371952799+0.0471653352452919i</v>
      </c>
      <c r="AO199" s="10">
        <f t="shared" si="66"/>
        <v>4.8933088540131994E-2</v>
      </c>
      <c r="AP199" s="10">
        <f t="shared" si="67"/>
        <v>1.8404092461255008</v>
      </c>
      <c r="AQ199" s="10">
        <f t="shared" si="68"/>
        <v>105.44768237984475</v>
      </c>
      <c r="AR199" s="10">
        <f t="shared" si="69"/>
        <v>-26.207947434809569</v>
      </c>
      <c r="AS199" s="10">
        <f t="shared" si="70"/>
        <v>-33.248685207263918</v>
      </c>
      <c r="AT199" s="10">
        <f t="shared" si="71"/>
        <v>-66.234160711390771</v>
      </c>
    </row>
    <row r="200" spans="25:46" x14ac:dyDescent="0.25">
      <c r="Y200" s="10">
        <v>198</v>
      </c>
      <c r="Z200" s="10">
        <f t="shared" si="62"/>
        <v>870963.58995607914</v>
      </c>
      <c r="AA200" s="10" t="str">
        <f t="shared" si="63"/>
        <v>5472425.63150042i</v>
      </c>
      <c r="AC200" s="10">
        <f>1/(2*$T$3+$T$6*$T$2/('4. Boost Inductor'!$B$11*$T$3^2)*($T$5-0.5))</f>
        <v>0.16903313049357674</v>
      </c>
      <c r="AD200" s="10" t="str">
        <f t="shared" si="58"/>
        <v>0.00403150146827402-0.0000733722731211237i</v>
      </c>
      <c r="AE200" s="10" t="str">
        <f t="shared" si="59"/>
        <v>-3.23922408707023-0.425112877756847i</v>
      </c>
      <c r="AF200" s="10" t="str">
        <f t="shared" si="64"/>
        <v>-0.442533068332194-0.0499044610020921i</v>
      </c>
      <c r="AG200" s="10">
        <f t="shared" si="54"/>
        <v>0.44533804216057671</v>
      </c>
      <c r="AH200" s="10">
        <f t="shared" si="55"/>
        <v>-3.0292970582810366</v>
      </c>
      <c r="AI200" s="10">
        <f t="shared" si="56"/>
        <v>-173.56593633089918</v>
      </c>
      <c r="AJ200" s="10">
        <f t="shared" si="57"/>
        <v>-7.0262040899765257</v>
      </c>
      <c r="AL200" s="10" t="str">
        <f t="shared" si="60"/>
        <v>0.0324328759440823-0.0000121411566647696i</v>
      </c>
      <c r="AM200" s="10" t="str">
        <f t="shared" si="61"/>
        <v>0.0055126208337698-0.0187658742203874i</v>
      </c>
      <c r="AN200" s="10" t="str">
        <f t="shared" si="65"/>
        <v>-0.0129131781929107+0.0440195268713333i</v>
      </c>
      <c r="AO200" s="10">
        <f t="shared" si="66"/>
        <v>4.5874490918351336E-2</v>
      </c>
      <c r="AP200" s="10">
        <f t="shared" si="67"/>
        <v>1.8561421386676393</v>
      </c>
      <c r="AQ200" s="10">
        <f t="shared" si="68"/>
        <v>106.34911072204214</v>
      </c>
      <c r="AR200" s="10">
        <f t="shared" si="69"/>
        <v>-26.768574843931731</v>
      </c>
      <c r="AS200" s="10">
        <f t="shared" si="70"/>
        <v>-33.794778933908255</v>
      </c>
      <c r="AT200" s="10">
        <f t="shared" si="71"/>
        <v>-67.216825608857036</v>
      </c>
    </row>
    <row r="201" spans="25:46" x14ac:dyDescent="0.25">
      <c r="Y201" s="10">
        <v>199</v>
      </c>
      <c r="Z201" s="10">
        <f t="shared" si="62"/>
        <v>933254.30079698924</v>
      </c>
      <c r="AA201" s="10" t="str">
        <f t="shared" si="63"/>
        <v>5863809.7106298i</v>
      </c>
      <c r="AC201" s="10">
        <f>1/(2*$T$3+$T$6*$T$2/('4. Boost Inductor'!$B$11*$T$3^2)*($T$5-0.5))</f>
        <v>0.16903313049357674</v>
      </c>
      <c r="AD201" s="10" t="str">
        <f t="shared" si="58"/>
        <v>0.00403150077079582-0.0000684749894974925i</v>
      </c>
      <c r="AE201" s="10" t="str">
        <f t="shared" si="59"/>
        <v>-3.25462575568874-0.316132444979981i</v>
      </c>
      <c r="AF201" s="10" t="str">
        <f t="shared" si="64"/>
        <v>-0.444309445860747-0.0355519855027487i</v>
      </c>
      <c r="AG201" s="10">
        <f t="shared" si="54"/>
        <v>0.44572954507668855</v>
      </c>
      <c r="AH201" s="10">
        <f t="shared" si="55"/>
        <v>-3.0617464993086072</v>
      </c>
      <c r="AI201" s="10">
        <f t="shared" si="56"/>
        <v>-175.42515234933762</v>
      </c>
      <c r="AJ201" s="10">
        <f t="shared" si="57"/>
        <v>-7.0185715570691478</v>
      </c>
      <c r="AL201" s="10" t="str">
        <f t="shared" si="60"/>
        <v>0.0324328759244237-0.0000113307866742764i</v>
      </c>
      <c r="AM201" s="10" t="str">
        <f t="shared" si="61"/>
        <v>0.00546694190266454-0.0175141372492044i</v>
      </c>
      <c r="AN201" s="10" t="str">
        <f t="shared" si="65"/>
        <v>-0.0128081653310242+0.0410832620664845i</v>
      </c>
      <c r="AO201" s="10">
        <f t="shared" si="66"/>
        <v>4.3033516253849102E-2</v>
      </c>
      <c r="AP201" s="10">
        <f t="shared" si="67"/>
        <v>1.8730079443698227</v>
      </c>
      <c r="AQ201" s="10">
        <f t="shared" si="68"/>
        <v>107.31545020686491</v>
      </c>
      <c r="AR201" s="10">
        <f t="shared" si="69"/>
        <v>-27.323863328289416</v>
      </c>
      <c r="AS201" s="10">
        <f t="shared" si="70"/>
        <v>-34.342434885358564</v>
      </c>
      <c r="AT201" s="10">
        <f t="shared" si="71"/>
        <v>-68.109702142472713</v>
      </c>
    </row>
    <row r="202" spans="25:46" x14ac:dyDescent="0.25">
      <c r="Y202" s="10">
        <v>200</v>
      </c>
      <c r="Z202" s="10">
        <f t="shared" si="62"/>
        <v>999999.99999999953</v>
      </c>
      <c r="AA202" s="10" t="str">
        <f t="shared" si="63"/>
        <v>6283185.30717958i</v>
      </c>
      <c r="AC202" s="10">
        <f>1/(2*$T$3+$T$6*$T$2/('4. Boost Inductor'!$B$11*$T$3^2)*($T$5-0.5))</f>
        <v>0.16903313049357674</v>
      </c>
      <c r="AD202" s="10" t="str">
        <f t="shared" si="58"/>
        <v>0.00403150016331774-0.0000639045784845415i</v>
      </c>
      <c r="AE202" s="10" t="str">
        <f t="shared" si="59"/>
        <v>-3.26370757180155-0.207774077143467i</v>
      </c>
      <c r="AF202" s="10" t="str">
        <f t="shared" si="64"/>
        <v>-0.445264209721405-0.0212669157966293i</v>
      </c>
      <c r="AG202" s="10">
        <f t="shared" si="54"/>
        <v>0.44577180055082921</v>
      </c>
      <c r="AH202" s="10">
        <f t="shared" si="55"/>
        <v>-3.0938664593584027</v>
      </c>
      <c r="AI202" s="10">
        <f t="shared" si="56"/>
        <v>-177.26549049831971</v>
      </c>
      <c r="AJ202" s="10">
        <f t="shared" si="57"/>
        <v>-7.0177481676551778</v>
      </c>
      <c r="AL202" s="10" t="str">
        <f t="shared" si="60"/>
        <v>0.032432875907302-0.0000105745053953688i</v>
      </c>
      <c r="AM202" s="10" t="str">
        <f t="shared" si="61"/>
        <v>0.00542715379771618-0.0163457978297977i</v>
      </c>
      <c r="AN202" s="10" t="str">
        <f t="shared" si="65"/>
        <v>-0.0127166950916008+0.0383426343067174i</v>
      </c>
      <c r="AO202" s="10">
        <f t="shared" si="66"/>
        <v>4.0396434739112884E-2</v>
      </c>
      <c r="AP202" s="10">
        <f t="shared" si="67"/>
        <v>1.891039585469513</v>
      </c>
      <c r="AQ202" s="10">
        <f t="shared" si="68"/>
        <v>108.34858713957182</v>
      </c>
      <c r="AR202" s="10">
        <f t="shared" si="69"/>
        <v>-27.873139252963668</v>
      </c>
      <c r="AS202" s="10">
        <f t="shared" si="70"/>
        <v>-34.890887420618846</v>
      </c>
      <c r="AT202" s="10">
        <f t="shared" si="71"/>
        <v>-68.916903358747888</v>
      </c>
    </row>
  </sheetData>
  <sheetProtection algorithmName="SHA-512" hashValue="/giZp8GiCOfh2YOAVZx5DyXfUiovnHcCSxRVim2Y6d6jQPOyzn03nsMjXMmWVgzr7J91y4SCPtUnGbcTrsKpiA==" saltValue="X3s4kI5rcXQdIaVkGj+ReA==" spinCount="100000" sheet="1" objects="1" scenarios="1" selectLockedCells="1"/>
  <customSheetViews>
    <customSheetView guid="{25ED444C-8CCE-464F-9E26-1EDA12EA830D}" scale="85">
      <selection activeCell="E7" sqref="E7"/>
      <pageMargins left="0.7" right="0.7" top="0.75" bottom="0.75" header="0.3" footer="0.3"/>
      <pageSetup orientation="portrait" r:id="rId1"/>
    </customSheetView>
  </customSheetViews>
  <conditionalFormatting sqref="E4">
    <cfRule type="notContainsBlanks" dxfId="0" priority="1">
      <formula>LEN(TRIM(E4))&gt;0</formula>
    </cfRule>
  </conditionalFormatting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F35" sqref="F35"/>
    </sheetView>
  </sheetViews>
  <sheetFormatPr defaultRowHeight="15" x14ac:dyDescent="0.25"/>
  <sheetData/>
  <customSheetViews>
    <customSheetView guid="{25ED444C-8CCE-464F-9E26-1EDA12EA830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3"/>
  <sheetViews>
    <sheetView topLeftCell="A4" workbookViewId="0">
      <selection activeCell="J45" sqref="J45"/>
    </sheetView>
  </sheetViews>
  <sheetFormatPr defaultRowHeight="15" x14ac:dyDescent="0.25"/>
  <sheetData>
    <row r="1" spans="1:4" hidden="1" x14ac:dyDescent="0.25">
      <c r="B1" t="s">
        <v>32</v>
      </c>
      <c r="C1" t="s">
        <v>65</v>
      </c>
      <c r="D1" t="s">
        <v>34</v>
      </c>
    </row>
    <row r="2" spans="1:4" hidden="1" x14ac:dyDescent="0.25">
      <c r="A2" t="s">
        <v>64</v>
      </c>
      <c r="B2">
        <f>1-Vin_max/Vout</f>
        <v>9.9999999999999978E-2</v>
      </c>
      <c r="C2">
        <f>1-Vin_nominal/Vout</f>
        <v>0.6</v>
      </c>
      <c r="D2">
        <f>1-Vin_min/Vout</f>
        <v>0.6</v>
      </c>
    </row>
    <row r="3" spans="1:4" hidden="1" x14ac:dyDescent="0.25">
      <c r="A3" t="s">
        <v>9</v>
      </c>
      <c r="C3">
        <f>1/('2. Design Parameters'!C6*1000)</f>
        <v>4.9999999999999998E-7</v>
      </c>
    </row>
  </sheetData>
  <sheetProtection password="F725" sheet="1" objects="1" scenarios="1"/>
  <customSheetViews>
    <customSheetView guid="{25ED444C-8CCE-464F-9E26-1EDA12EA830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10"/>
  <sheetViews>
    <sheetView workbookViewId="0">
      <selection activeCell="C4" sqref="C4"/>
    </sheetView>
  </sheetViews>
  <sheetFormatPr defaultRowHeight="15" x14ac:dyDescent="0.25"/>
  <cols>
    <col min="1" max="1" width="20.5703125" customWidth="1"/>
    <col min="2" max="2" width="13" customWidth="1"/>
    <col min="6" max="6" width="39" customWidth="1"/>
  </cols>
  <sheetData>
    <row r="1" spans="1:6" x14ac:dyDescent="0.25">
      <c r="A1" t="s">
        <v>31</v>
      </c>
    </row>
    <row r="2" spans="1:6" x14ac:dyDescent="0.25">
      <c r="B2" t="s">
        <v>32</v>
      </c>
      <c r="C2" t="s">
        <v>33</v>
      </c>
      <c r="D2" t="s">
        <v>34</v>
      </c>
      <c r="E2" t="s">
        <v>36</v>
      </c>
    </row>
    <row r="3" spans="1:6" x14ac:dyDescent="0.25">
      <c r="A3" t="s">
        <v>0</v>
      </c>
      <c r="B3" s="12">
        <v>4</v>
      </c>
      <c r="C3" s="12">
        <v>4</v>
      </c>
      <c r="D3" s="12">
        <v>9</v>
      </c>
      <c r="E3" s="13" t="s">
        <v>37</v>
      </c>
    </row>
    <row r="4" spans="1:6" x14ac:dyDescent="0.25">
      <c r="A4" t="s">
        <v>1</v>
      </c>
      <c r="B4" s="13"/>
      <c r="C4" s="12">
        <v>10</v>
      </c>
      <c r="D4" s="13"/>
      <c r="E4" s="13" t="s">
        <v>37</v>
      </c>
      <c r="F4" s="8"/>
    </row>
    <row r="5" spans="1:6" x14ac:dyDescent="0.25">
      <c r="A5" t="s">
        <v>2</v>
      </c>
      <c r="B5" s="13"/>
      <c r="C5" s="13"/>
      <c r="D5" s="12">
        <v>2</v>
      </c>
      <c r="E5" s="13" t="s">
        <v>38</v>
      </c>
    </row>
    <row r="6" spans="1:6" x14ac:dyDescent="0.25">
      <c r="A6" t="s">
        <v>8</v>
      </c>
      <c r="B6" s="14">
        <v>1800</v>
      </c>
      <c r="C6" s="14">
        <v>2000</v>
      </c>
      <c r="D6" s="14">
        <v>2200</v>
      </c>
      <c r="E6" s="13" t="s">
        <v>46</v>
      </c>
    </row>
    <row r="7" spans="1:6" x14ac:dyDescent="0.25">
      <c r="A7" t="s">
        <v>6</v>
      </c>
      <c r="B7" s="14"/>
      <c r="C7" s="14">
        <v>204</v>
      </c>
      <c r="D7" s="14"/>
      <c r="E7" s="13" t="s">
        <v>130</v>
      </c>
    </row>
    <row r="8" spans="1:6" x14ac:dyDescent="0.25">
      <c r="A8" t="s">
        <v>35</v>
      </c>
      <c r="B8" s="14">
        <v>85</v>
      </c>
      <c r="C8" s="15">
        <v>88</v>
      </c>
      <c r="D8" s="14">
        <v>90</v>
      </c>
      <c r="E8" s="13" t="s">
        <v>39</v>
      </c>
      <c r="F8" s="8"/>
    </row>
    <row r="9" spans="1:6" x14ac:dyDescent="0.25">
      <c r="A9" t="s">
        <v>40</v>
      </c>
      <c r="B9" s="14"/>
      <c r="C9" s="15">
        <v>6.3</v>
      </c>
      <c r="D9" s="14"/>
      <c r="E9" s="13" t="s">
        <v>37</v>
      </c>
    </row>
    <row r="10" spans="1:6" x14ac:dyDescent="0.25">
      <c r="A10" t="s">
        <v>44</v>
      </c>
      <c r="B10" s="14">
        <v>180</v>
      </c>
      <c r="C10" s="15">
        <v>200</v>
      </c>
      <c r="D10" s="14">
        <v>220</v>
      </c>
      <c r="E10" s="13" t="s">
        <v>45</v>
      </c>
    </row>
  </sheetData>
  <sheetProtection password="F725" sheet="1" objects="1" scenarios="1" selectLockedCells="1"/>
  <customSheetViews>
    <customSheetView guid="{25ED444C-8CCE-464F-9E26-1EDA12EA830D}">
      <selection activeCell="G32" sqref="G32"/>
      <pageMargins left="0.7" right="0.7" top="0.75" bottom="0.75" header="0.3" footer="0.3"/>
    </customSheetView>
  </customSheetViews>
  <conditionalFormatting sqref="F4 F8">
    <cfRule type="notContainsBlanks" dxfId="1" priority="3">
      <formula>LEN(TRIM(F4))&gt;0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10"/>
  <sheetViews>
    <sheetView zoomScale="190" zoomScaleNormal="190" workbookViewId="0">
      <selection activeCell="B9" sqref="B9"/>
    </sheetView>
  </sheetViews>
  <sheetFormatPr defaultRowHeight="15" x14ac:dyDescent="0.25"/>
  <cols>
    <col min="1" max="1" width="17" customWidth="1"/>
    <col min="3" max="3" width="9.7109375" customWidth="1"/>
    <col min="4" max="6" width="9.140625" hidden="1" customWidth="1"/>
  </cols>
  <sheetData>
    <row r="1" spans="1:6" x14ac:dyDescent="0.25">
      <c r="A1" t="s">
        <v>41</v>
      </c>
      <c r="F1" s="8">
        <v>1</v>
      </c>
    </row>
    <row r="7" spans="1:6" x14ac:dyDescent="0.25">
      <c r="A7" t="str">
        <f>IF(F1=1,"Rupper","Rlower")</f>
        <v>Rupper</v>
      </c>
      <c r="B7" s="2">
        <v>10000</v>
      </c>
      <c r="C7" s="1" t="s">
        <v>43</v>
      </c>
      <c r="D7" s="8">
        <f>IF(F1=1,B7,B9)</f>
        <v>10000</v>
      </c>
    </row>
    <row r="8" spans="1:6" x14ac:dyDescent="0.25">
      <c r="A8" t="str">
        <f>IF(F1=1,"Suggested Rlower","Suggested Rupper")</f>
        <v>Suggested Rlower</v>
      </c>
      <c r="B8" s="20">
        <f>IF(F1=1,B7/(Vout/0.2-1),B7*(Vout/0.2-1))</f>
        <v>204.08163265306123</v>
      </c>
      <c r="C8" s="1" t="s">
        <v>43</v>
      </c>
      <c r="D8" s="8">
        <f>IF(F1=1,B9,B7)</f>
        <v>205</v>
      </c>
    </row>
    <row r="9" spans="1:6" x14ac:dyDescent="0.25">
      <c r="A9" t="str">
        <f>IF(F1=1,"Rlower used","Rupper used")</f>
        <v>Rlower used</v>
      </c>
      <c r="B9" s="2">
        <v>205</v>
      </c>
      <c r="C9" s="1" t="s">
        <v>43</v>
      </c>
    </row>
    <row r="10" spans="1:6" x14ac:dyDescent="0.25">
      <c r="A10" t="s">
        <v>42</v>
      </c>
      <c r="B10" s="19">
        <f>IF(F1=1,0.2*(B7+B9)/B9,0.2*(B7+B9)/B7)</f>
        <v>9.9560975609756106</v>
      </c>
      <c r="C10" s="4" t="s">
        <v>37</v>
      </c>
    </row>
  </sheetData>
  <sheetProtection algorithmName="SHA-512" hashValue="98x2b1aU5tA4UHYx9stp+H2htIdZ8/s+F2RDao1183Pc0N/YFDU3mV44waJ3Tc+CYmr4nPQ+pPJD6Up6+9QYRA==" saltValue="SCJ6nxSkIAERUSBk+SCwiw==" spinCount="100000" sheet="1" objects="1" scenarios="1" selectLockedCells="1"/>
  <customSheetViews>
    <customSheetView guid="{25ED444C-8CCE-464F-9E26-1EDA12EA830D}" scale="190">
      <selection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Option Button 7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95250</xdr:rowOff>
                  </from>
                  <to>
                    <xdr:col>7</xdr:col>
                    <xdr:colOff>47625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Option Button 8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9525</xdr:rowOff>
                  </from>
                  <to>
                    <xdr:col>7</xdr:col>
                    <xdr:colOff>47625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E11"/>
  <sheetViews>
    <sheetView workbookViewId="0">
      <selection activeCell="B2" sqref="B2"/>
    </sheetView>
  </sheetViews>
  <sheetFormatPr defaultRowHeight="15" x14ac:dyDescent="0.25"/>
  <cols>
    <col min="1" max="1" width="49.28515625" customWidth="1"/>
  </cols>
  <sheetData>
    <row r="2" spans="1:5" x14ac:dyDescent="0.25">
      <c r="A2" t="s">
        <v>51</v>
      </c>
      <c r="B2" s="2">
        <v>90</v>
      </c>
      <c r="C2" t="s">
        <v>39</v>
      </c>
      <c r="D2" t="s">
        <v>56</v>
      </c>
      <c r="E2" s="3">
        <f>SQRT(B3^2+B8^2/3)</f>
        <v>5.5688729271740742</v>
      </c>
    </row>
    <row r="3" spans="1:5" x14ac:dyDescent="0.25">
      <c r="A3" t="s">
        <v>47</v>
      </c>
      <c r="B3" s="3">
        <f>Ioutmax*Vout/(Vin_min*B2/100)</f>
        <v>5.5555555555555554</v>
      </c>
      <c r="C3" t="s">
        <v>38</v>
      </c>
      <c r="D3" t="s">
        <v>57</v>
      </c>
      <c r="E3" s="3">
        <f>B8/2+B3</f>
        <v>5.8888888888888884</v>
      </c>
    </row>
    <row r="4" spans="1:5" x14ac:dyDescent="0.25">
      <c r="A4" t="s">
        <v>49</v>
      </c>
      <c r="B4" s="2">
        <v>30</v>
      </c>
      <c r="C4" t="s">
        <v>39</v>
      </c>
    </row>
    <row r="5" spans="1:5" x14ac:dyDescent="0.25">
      <c r="A5" t="s">
        <v>50</v>
      </c>
      <c r="B5" s="3">
        <f>B3*B4/100</f>
        <v>1.6666666666666665</v>
      </c>
      <c r="C5" t="s">
        <v>38</v>
      </c>
    </row>
    <row r="6" spans="1:5" x14ac:dyDescent="0.25">
      <c r="A6" t="s">
        <v>52</v>
      </c>
      <c r="B6" s="3">
        <f>B2/100*Vin_min^2*(1-Vin_min/Vout)/(B4/100*Fsw_min*1000*(Vout*Ioutmax))*1000000</f>
        <v>0.8</v>
      </c>
      <c r="C6" s="1" t="s">
        <v>53</v>
      </c>
    </row>
    <row r="7" spans="1:5" x14ac:dyDescent="0.25">
      <c r="A7" t="s">
        <v>54</v>
      </c>
      <c r="B7" s="2">
        <v>2</v>
      </c>
      <c r="C7" s="1" t="s">
        <v>53</v>
      </c>
    </row>
    <row r="8" spans="1:5" x14ac:dyDescent="0.25">
      <c r="A8" t="s">
        <v>55</v>
      </c>
      <c r="B8" s="3">
        <f>Vin_min*(1-Vin_min/Vout)/(Fsw_min*B7/1000)</f>
        <v>0.66666666666666663</v>
      </c>
      <c r="C8" s="4" t="s">
        <v>38</v>
      </c>
      <c r="D8" t="str">
        <f>IF(B8&gt;B5,"Inductor smaller than recommended, ripple is higher than requested","")</f>
        <v/>
      </c>
    </row>
    <row r="9" spans="1:5" x14ac:dyDescent="0.25">
      <c r="C9" s="4"/>
    </row>
    <row r="11" spans="1:5" s="5" customFormat="1" hidden="1" x14ac:dyDescent="0.25">
      <c r="A11" s="5" t="s">
        <v>3</v>
      </c>
      <c r="B11" s="8">
        <f>B7/1000000</f>
        <v>1.9999999999999999E-6</v>
      </c>
    </row>
  </sheetData>
  <sheetProtection password="F725" sheet="1" objects="1" scenarios="1" selectLockedCells="1"/>
  <customSheetViews>
    <customSheetView guid="{25ED444C-8CCE-464F-9E26-1EDA12EA830D}">
      <selection activeCell="B3" sqref="B3"/>
      <pageMargins left="0.7" right="0.7" top="0.75" bottom="0.75" header="0.3" footer="0.3"/>
    </customSheetView>
  </customSheetViews>
  <conditionalFormatting sqref="D8">
    <cfRule type="notContainsBlanks" priority="1">
      <formula>LEN(TRIM(D8))&gt;0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11"/>
  <sheetViews>
    <sheetView workbookViewId="0">
      <selection activeCell="B7" sqref="B7"/>
    </sheetView>
  </sheetViews>
  <sheetFormatPr defaultRowHeight="15" x14ac:dyDescent="0.25"/>
  <cols>
    <col min="1" max="1" width="36.5703125" customWidth="1"/>
    <col min="4" max="4" width="45.7109375" customWidth="1"/>
  </cols>
  <sheetData>
    <row r="2" spans="1:6" x14ac:dyDescent="0.25">
      <c r="A2" t="s">
        <v>58</v>
      </c>
      <c r="B2" s="3">
        <f>IPeakL</f>
        <v>5.8888888888888884</v>
      </c>
      <c r="C2" t="s">
        <v>38</v>
      </c>
    </row>
    <row r="3" spans="1:6" x14ac:dyDescent="0.25">
      <c r="A3" t="s">
        <v>59</v>
      </c>
      <c r="B3" s="2">
        <v>7</v>
      </c>
      <c r="C3" t="s">
        <v>38</v>
      </c>
    </row>
    <row r="4" spans="1:6" x14ac:dyDescent="0.25">
      <c r="A4" t="s">
        <v>60</v>
      </c>
      <c r="B4" s="3">
        <f>vcl_min/B3</f>
        <v>25.714285714285715</v>
      </c>
      <c r="C4" t="s">
        <v>62</v>
      </c>
    </row>
    <row r="5" spans="1:6" x14ac:dyDescent="0.25">
      <c r="A5" t="s">
        <v>61</v>
      </c>
      <c r="B5" s="2">
        <v>25</v>
      </c>
      <c r="C5" t="s">
        <v>62</v>
      </c>
      <c r="D5" t="s">
        <v>63</v>
      </c>
      <c r="E5" s="3">
        <f>Dconv_max*IrmsL^2*B5/1000</f>
        <v>0.46518518518518509</v>
      </c>
      <c r="F5" t="s">
        <v>68</v>
      </c>
    </row>
    <row r="6" spans="1:6" x14ac:dyDescent="0.25">
      <c r="A6" t="s">
        <v>66</v>
      </c>
      <c r="B6" s="3">
        <f>vcl_min/B5</f>
        <v>7.2</v>
      </c>
      <c r="C6" t="s">
        <v>38</v>
      </c>
    </row>
    <row r="7" spans="1:6" x14ac:dyDescent="0.25">
      <c r="A7" t="s">
        <v>67</v>
      </c>
      <c r="B7" s="3">
        <f>vcl_max/B5</f>
        <v>8.8000000000000007</v>
      </c>
      <c r="C7" t="s">
        <v>38</v>
      </c>
    </row>
    <row r="11" spans="1:6" hidden="1" x14ac:dyDescent="0.25">
      <c r="B11" s="6">
        <f>B5/1000</f>
        <v>2.5000000000000001E-2</v>
      </c>
    </row>
  </sheetData>
  <sheetProtection algorithmName="SHA-512" hashValue="RVH+fSxnG0UXBUZfbDyFmJALVaeJPo3nvmtQ4rlkR2oM5uo63PtOZgcSG5VlHs8gd5ZkD1lnQkf2SbMYGr6Jiw==" saltValue="MuC2iPD4MKorvj/xwqpv2w==" spinCount="100000" sheet="1" objects="1" scenarios="1"/>
  <customSheetViews>
    <customSheetView guid="{25ED444C-8CCE-464F-9E26-1EDA12EA830D}">
      <selection activeCell="B8" sqref="B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C15"/>
  <sheetViews>
    <sheetView workbookViewId="0">
      <selection activeCell="B3" sqref="B3"/>
    </sheetView>
  </sheetViews>
  <sheetFormatPr defaultRowHeight="15" x14ac:dyDescent="0.25"/>
  <cols>
    <col min="1" max="1" width="29" customWidth="1"/>
    <col min="2" max="2" width="9.5703125" customWidth="1"/>
  </cols>
  <sheetData>
    <row r="2" spans="1:3" x14ac:dyDescent="0.25">
      <c r="A2" t="s">
        <v>69</v>
      </c>
      <c r="B2" s="2">
        <v>1000</v>
      </c>
      <c r="C2" s="1" t="s">
        <v>83</v>
      </c>
    </row>
    <row r="3" spans="1:3" x14ac:dyDescent="0.25">
      <c r="A3" t="s">
        <v>70</v>
      </c>
      <c r="B3" s="2">
        <v>10</v>
      </c>
      <c r="C3" t="s">
        <v>62</v>
      </c>
    </row>
    <row r="4" spans="1:3" x14ac:dyDescent="0.25">
      <c r="A4" t="s">
        <v>86</v>
      </c>
      <c r="B4" s="3">
        <f>Vin_min</f>
        <v>4</v>
      </c>
      <c r="C4" t="s">
        <v>37</v>
      </c>
    </row>
    <row r="5" spans="1:3" x14ac:dyDescent="0.25">
      <c r="A5" t="s">
        <v>81</v>
      </c>
      <c r="B5" s="3">
        <f>Ioutmax*Dconv_max/(B2*Fsw_min)+B3*(Ioutmax/(1-Dconv_max)+Iripple/2)</f>
        <v>53.333333999999994</v>
      </c>
      <c r="C5" t="s">
        <v>45</v>
      </c>
    </row>
    <row r="6" spans="1:3" x14ac:dyDescent="0.25">
      <c r="A6" t="s">
        <v>82</v>
      </c>
      <c r="B6" s="3">
        <f>Ioutmax*SQRT(Dconv_max/(1-Dconv_max)+Dconv_max/12*((1-Dconv_max)/(Lo/(Rout*Tsw)))^2)</f>
        <v>2.4596747752497685</v>
      </c>
      <c r="C6" t="s">
        <v>38</v>
      </c>
    </row>
    <row r="14" spans="1:3" hidden="1" x14ac:dyDescent="0.25">
      <c r="A14" t="s">
        <v>4</v>
      </c>
      <c r="C14" s="9">
        <f>B2*10^-6</f>
        <v>1E-3</v>
      </c>
    </row>
    <row r="15" spans="1:3" hidden="1" x14ac:dyDescent="0.25">
      <c r="A15" t="s">
        <v>5</v>
      </c>
      <c r="C15" s="9">
        <f>B3*10^-3</f>
        <v>0.01</v>
      </c>
    </row>
  </sheetData>
  <sheetProtection password="F725" sheet="1" objects="1" scenarios="1" selectLockedCells="1"/>
  <customSheetViews>
    <customSheetView guid="{25ED444C-8CCE-464F-9E26-1EDA12EA830D}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C6"/>
  <sheetViews>
    <sheetView workbookViewId="0">
      <selection activeCell="B4" sqref="B4"/>
    </sheetView>
  </sheetViews>
  <sheetFormatPr defaultRowHeight="15" x14ac:dyDescent="0.25"/>
  <cols>
    <col min="1" max="1" width="26.7109375" customWidth="1"/>
  </cols>
  <sheetData>
    <row r="2" spans="1:3" x14ac:dyDescent="0.25">
      <c r="A2" t="s">
        <v>71</v>
      </c>
      <c r="B2" s="2"/>
      <c r="C2" s="1" t="s">
        <v>83</v>
      </c>
    </row>
    <row r="3" spans="1:3" x14ac:dyDescent="0.25">
      <c r="A3" t="s">
        <v>70</v>
      </c>
      <c r="B3" s="2"/>
      <c r="C3" t="s">
        <v>62</v>
      </c>
    </row>
    <row r="4" spans="1:3" x14ac:dyDescent="0.25">
      <c r="A4" t="s">
        <v>86</v>
      </c>
      <c r="B4" s="3"/>
      <c r="C4" t="s">
        <v>37</v>
      </c>
    </row>
    <row r="5" spans="1:3" x14ac:dyDescent="0.25">
      <c r="A5" t="s">
        <v>84</v>
      </c>
      <c r="B5" s="3"/>
      <c r="C5" t="s">
        <v>45</v>
      </c>
    </row>
    <row r="6" spans="1:3" x14ac:dyDescent="0.25">
      <c r="A6" t="s">
        <v>85</v>
      </c>
      <c r="B6" s="3"/>
      <c r="C6" t="s">
        <v>38</v>
      </c>
    </row>
  </sheetData>
  <customSheetViews>
    <customSheetView guid="{25ED444C-8CCE-464F-9E26-1EDA12EA830D}">
      <selection activeCell="A19" sqref="A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5"/>
  <sheetViews>
    <sheetView workbookViewId="0">
      <selection activeCell="B1" sqref="B1"/>
    </sheetView>
  </sheetViews>
  <sheetFormatPr defaultRowHeight="15" x14ac:dyDescent="0.25"/>
  <cols>
    <col min="1" max="1" width="24" customWidth="1"/>
  </cols>
  <sheetData>
    <row r="1" spans="1:3" x14ac:dyDescent="0.25">
      <c r="A1" t="s">
        <v>77</v>
      </c>
      <c r="B1" s="2">
        <v>0.6</v>
      </c>
      <c r="C1" t="s">
        <v>37</v>
      </c>
    </row>
    <row r="2" spans="1:3" x14ac:dyDescent="0.25">
      <c r="A2" t="s">
        <v>79</v>
      </c>
      <c r="B2" s="3">
        <f>Vout</f>
        <v>10</v>
      </c>
      <c r="C2" t="s">
        <v>37</v>
      </c>
    </row>
    <row r="3" spans="1:3" x14ac:dyDescent="0.25">
      <c r="A3" t="s">
        <v>80</v>
      </c>
      <c r="B3" s="3">
        <f>Ioutmax</f>
        <v>2</v>
      </c>
      <c r="C3" t="s">
        <v>38</v>
      </c>
    </row>
    <row r="4" spans="1:3" x14ac:dyDescent="0.25">
      <c r="A4" t="s">
        <v>58</v>
      </c>
      <c r="B4" s="3">
        <f>IPeakL</f>
        <v>5.8888888888888884</v>
      </c>
      <c r="C4" t="s">
        <v>38</v>
      </c>
    </row>
    <row r="5" spans="1:3" x14ac:dyDescent="0.25">
      <c r="A5" t="s">
        <v>78</v>
      </c>
      <c r="B5" s="3">
        <f>B3*Vf</f>
        <v>1.2</v>
      </c>
      <c r="C5" t="s">
        <v>68</v>
      </c>
    </row>
  </sheetData>
  <sheetProtection password="F725" sheet="1" objects="1" scenarios="1" selectLockedCells="1"/>
  <customSheetViews>
    <customSheetView guid="{25ED444C-8CCE-464F-9E26-1EDA12EA830D}">
      <selection activeCell="B6" sqref="B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8"/>
  <sheetViews>
    <sheetView workbookViewId="0">
      <selection activeCell="B5" sqref="B5"/>
    </sheetView>
  </sheetViews>
  <sheetFormatPr defaultRowHeight="15" x14ac:dyDescent="0.25"/>
  <cols>
    <col min="1" max="1" width="78" bestFit="1" customWidth="1"/>
  </cols>
  <sheetData>
    <row r="1" spans="1:4" ht="30" x14ac:dyDescent="0.25">
      <c r="A1" s="17" t="s">
        <v>131</v>
      </c>
      <c r="B1" s="2">
        <v>10</v>
      </c>
      <c r="C1" t="s">
        <v>87</v>
      </c>
      <c r="D1" s="18" t="str">
        <f>IF(B1*10^-9*Fsw_max*10^3&gt;35*10^-3,"WARNING:  Total Gate Charge is higher than VDRV minimum 35 mA capability at this frequency", "")</f>
        <v/>
      </c>
    </row>
    <row r="2" spans="1:4" x14ac:dyDescent="0.25">
      <c r="A2" t="s">
        <v>76</v>
      </c>
      <c r="B2" s="2">
        <v>100</v>
      </c>
      <c r="C2" t="s">
        <v>62</v>
      </c>
    </row>
    <row r="3" spans="1:4" x14ac:dyDescent="0.25">
      <c r="A3" t="s">
        <v>72</v>
      </c>
      <c r="B3" s="3">
        <f>MAX(Vout+Vf,Vin_max)</f>
        <v>10.6</v>
      </c>
      <c r="C3" t="s">
        <v>37</v>
      </c>
    </row>
    <row r="4" spans="1:4" x14ac:dyDescent="0.25">
      <c r="A4" t="s">
        <v>88</v>
      </c>
      <c r="B4" s="2">
        <v>10</v>
      </c>
      <c r="C4" t="s">
        <v>90</v>
      </c>
    </row>
    <row r="5" spans="1:4" x14ac:dyDescent="0.25">
      <c r="A5" t="s">
        <v>89</v>
      </c>
      <c r="B5" s="2">
        <v>10</v>
      </c>
      <c r="C5" t="s">
        <v>90</v>
      </c>
    </row>
    <row r="6" spans="1:4" x14ac:dyDescent="0.25">
      <c r="A6" t="s">
        <v>74</v>
      </c>
      <c r="B6" s="3">
        <f>(B4*10^-9*(IavgL-Iripple/2)+B5*10^-9*(IavgL+Iripple/2))*Fsw_min*10^3*Vin_max</f>
        <v>1.8</v>
      </c>
      <c r="C6" t="s">
        <v>68</v>
      </c>
    </row>
    <row r="7" spans="1:4" x14ac:dyDescent="0.25">
      <c r="A7" t="s">
        <v>75</v>
      </c>
      <c r="B7" s="3">
        <f>IrmsL^2*Dconv_max*B2*10^-3</f>
        <v>1.8607407407407404</v>
      </c>
      <c r="C7" t="s">
        <v>68</v>
      </c>
    </row>
    <row r="8" spans="1:4" x14ac:dyDescent="0.25">
      <c r="A8" t="s">
        <v>73</v>
      </c>
      <c r="B8" s="3">
        <f>B7+B6</f>
        <v>3.6607407407407404</v>
      </c>
      <c r="C8" t="s">
        <v>68</v>
      </c>
    </row>
  </sheetData>
  <sheetProtection password="F725" sheet="1" objects="1" scenarios="1" selectLockedCells="1"/>
  <customSheetViews>
    <customSheetView guid="{25ED444C-8CCE-464F-9E26-1EDA12EA830D}">
      <selection activeCell="B9" sqref="B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1. Introduction</vt:lpstr>
      <vt:lpstr>2. Design Parameters</vt:lpstr>
      <vt:lpstr>3. Feedback Resistors</vt:lpstr>
      <vt:lpstr>4. Boost Inductor</vt:lpstr>
      <vt:lpstr>5. Current Sense Resistor</vt:lpstr>
      <vt:lpstr>6. Output Capacitors</vt:lpstr>
      <vt:lpstr>Input Capacitor</vt:lpstr>
      <vt:lpstr>7. Diode</vt:lpstr>
      <vt:lpstr>8. MOSFET</vt:lpstr>
      <vt:lpstr>9. Loop Compensation</vt:lpstr>
      <vt:lpstr>Design Information</vt:lpstr>
      <vt:lpstr>Calculations</vt:lpstr>
      <vt:lpstr>C0</vt:lpstr>
      <vt:lpstr>comp_C1</vt:lpstr>
      <vt:lpstr>comp_C2</vt:lpstr>
      <vt:lpstr>comp_R2</vt:lpstr>
      <vt:lpstr>Dconv_max</vt:lpstr>
      <vt:lpstr>Dmax_min</vt:lpstr>
      <vt:lpstr>Dmax_nom</vt:lpstr>
      <vt:lpstr>Fsw_max</vt:lpstr>
      <vt:lpstr>Fsw_min</vt:lpstr>
      <vt:lpstr>Fsw_nom</vt:lpstr>
      <vt:lpstr>gm</vt:lpstr>
      <vt:lpstr>IavgL</vt:lpstr>
      <vt:lpstr>Ioutmax</vt:lpstr>
      <vt:lpstr>IPeakL</vt:lpstr>
      <vt:lpstr>Iripple</vt:lpstr>
      <vt:lpstr>IrmsL</vt:lpstr>
      <vt:lpstr>Lo</vt:lpstr>
      <vt:lpstr>R0</vt:lpstr>
      <vt:lpstr>Rlower</vt:lpstr>
      <vt:lpstr>Rotaesd</vt:lpstr>
      <vt:lpstr>Rout</vt:lpstr>
      <vt:lpstr>Rupper</vt:lpstr>
      <vt:lpstr>SC_nom</vt:lpstr>
      <vt:lpstr>Tsw</vt:lpstr>
      <vt:lpstr>vcl_max</vt:lpstr>
      <vt:lpstr>vcl_min</vt:lpstr>
      <vt:lpstr>vcl_nom</vt:lpstr>
      <vt:lpstr>Vdrv_nom</vt:lpstr>
      <vt:lpstr>Vf</vt:lpstr>
      <vt:lpstr>Vin_max</vt:lpstr>
      <vt:lpstr>Vin_min</vt:lpstr>
      <vt:lpstr>Vin_nominal</vt:lpstr>
      <vt:lpstr>Vout</vt:lpstr>
      <vt:lpstr>wp1e</vt:lpstr>
      <vt:lpstr>wp2e</vt:lpstr>
      <vt:lpstr>wz1e</vt:lpstr>
      <vt:lpstr>wz2e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Laprade</dc:creator>
  <cp:lastModifiedBy>Alain Laprade</cp:lastModifiedBy>
  <dcterms:created xsi:type="dcterms:W3CDTF">2006-09-16T00:00:00Z</dcterms:created>
  <dcterms:modified xsi:type="dcterms:W3CDTF">2017-12-08T17:21:46Z</dcterms:modified>
</cp:coreProperties>
</file>