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Intro" sheetId="4" r:id="rId1"/>
    <sheet name="Main" sheetId="1" r:id="rId2"/>
  </sheets>
  <calcPr calcId="145621"/>
</workbook>
</file>

<file path=xl/calcChain.xml><?xml version="1.0" encoding="utf-8"?>
<calcChain xmlns="http://schemas.openxmlformats.org/spreadsheetml/2006/main">
  <c r="P33" i="1" l="1"/>
  <c r="F33" i="1"/>
  <c r="L35" i="1" l="1"/>
  <c r="L27" i="1"/>
  <c r="P36" i="1" s="1"/>
  <c r="L30" i="1"/>
  <c r="P28" i="1" l="1"/>
  <c r="R34" i="1" s="1"/>
  <c r="R37" i="1"/>
  <c r="P27" i="1"/>
  <c r="P31" i="1" l="1"/>
  <c r="P38" i="1" s="1"/>
  <c r="P39" i="1" l="1"/>
  <c r="P40" i="1" l="1"/>
  <c r="B35" i="1"/>
  <c r="B27" i="1"/>
  <c r="B30" i="1"/>
  <c r="F22" i="1"/>
  <c r="F28" i="1" l="1"/>
  <c r="H34" i="1" s="1"/>
  <c r="H37" i="1"/>
  <c r="F36" i="1"/>
  <c r="F27" i="1"/>
  <c r="F21" i="1"/>
  <c r="F18" i="1"/>
  <c r="F31" i="1" l="1"/>
  <c r="F38" i="1" s="1"/>
  <c r="F39" i="1" l="1"/>
  <c r="F40" i="1" l="1"/>
  <c r="B9" i="1" s="1"/>
  <c r="B11" i="1" l="1"/>
  <c r="F15" i="1" s="1"/>
  <c r="B19" i="1" l="1"/>
  <c r="F7" i="1" s="1"/>
  <c r="B12" i="1"/>
  <c r="F8" i="1" s="1"/>
  <c r="F16" i="1" s="1"/>
  <c r="F13" i="1" l="1"/>
  <c r="F20" i="1" s="1"/>
  <c r="F23" i="1" s="1"/>
  <c r="F1" i="1" s="1"/>
  <c r="N2" i="1" s="1"/>
  <c r="O2" i="1" s="1"/>
  <c r="F19" i="1"/>
  <c r="H15" i="1"/>
  <c r="H18" i="1"/>
  <c r="F24" i="1" l="1"/>
</calcChain>
</file>

<file path=xl/comments1.xml><?xml version="1.0" encoding="utf-8"?>
<comments xmlns="http://schemas.openxmlformats.org/spreadsheetml/2006/main">
  <authors>
    <author>Matt Majeika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Thermal resistance of the package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Temperature rise in the die due to the power dissipation losses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SMPS losses, including conduction losses, switching losses, and Iq losses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Thermally, Total Ploss for SW1 is the sum of SMPS losses, Vdrive1 losses, and Vdrive2 losses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SMPS losses, including conduction losses, switching losses, and Iq losses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SMPS losses, including conduction losses, switching losses, and Iq losses</t>
        </r>
      </text>
    </comment>
  </commentList>
</comments>
</file>

<file path=xl/sharedStrings.xml><?xml version="1.0" encoding="utf-8"?>
<sst xmlns="http://schemas.openxmlformats.org/spreadsheetml/2006/main" count="160" uniqueCount="59">
  <si>
    <t>VBAT</t>
  </si>
  <si>
    <t>Pout (SW2 + SW3 + SW4)</t>
  </si>
  <si>
    <t>IOUT (SW1)</t>
  </si>
  <si>
    <t>V</t>
  </si>
  <si>
    <t>W</t>
  </si>
  <si>
    <t>A</t>
  </si>
  <si>
    <t>D</t>
  </si>
  <si>
    <t>IL RMS</t>
  </si>
  <si>
    <t>RdsonHS</t>
  </si>
  <si>
    <t>RdsonLS</t>
  </si>
  <si>
    <t>ton</t>
  </si>
  <si>
    <t>toff</t>
  </si>
  <si>
    <t>fsw</t>
  </si>
  <si>
    <t>Iq</t>
  </si>
  <si>
    <t>Vdiode</t>
  </si>
  <si>
    <t>Ω</t>
  </si>
  <si>
    <t>Idrive</t>
  </si>
  <si>
    <t>Idrive2</t>
  </si>
  <si>
    <t>IOUT (Total)</t>
  </si>
  <si>
    <t>Psw</t>
  </si>
  <si>
    <t>Pcon</t>
  </si>
  <si>
    <t>Piq</t>
  </si>
  <si>
    <t>Pdiode</t>
  </si>
  <si>
    <t>Ploss - SMPS</t>
  </si>
  <si>
    <t>Iripple (p-p)</t>
  </si>
  <si>
    <t>Total Ploss</t>
  </si>
  <si>
    <t>Ploss - Vdrive1</t>
  </si>
  <si>
    <t>Ploss - Vdrive2</t>
  </si>
  <si>
    <t>Total Pin</t>
  </si>
  <si>
    <t>VOUT1</t>
  </si>
  <si>
    <t>VIN2</t>
  </si>
  <si>
    <t>VOUT2</t>
  </si>
  <si>
    <t>IOUT (SW2)</t>
  </si>
  <si>
    <t>Vdiode [Future]</t>
  </si>
  <si>
    <t>DCR</t>
  </si>
  <si>
    <t>VOUT3</t>
  </si>
  <si>
    <t>IOUT (SW3)</t>
  </si>
  <si>
    <t>°C/W</t>
  </si>
  <si>
    <t>QFN 5x5 mm</t>
  </si>
  <si>
    <t>Package</t>
  </si>
  <si>
    <r>
      <t>R</t>
    </r>
    <r>
      <rPr>
        <u/>
        <sz val="11"/>
        <color theme="1"/>
        <rFont val="Calibri"/>
        <family val="2"/>
      </rPr>
      <t>θJA</t>
    </r>
  </si>
  <si>
    <t>Power Loss for Switcher 1 [Battery-Connected Non-Synchronous Buck]</t>
  </si>
  <si>
    <t>Power Loss for Switcher 2 [Downstream Synchronous Buck]</t>
  </si>
  <si>
    <t>Power Loss for Switcher 3 [Downstream Synchronous Buck]</t>
  </si>
  <si>
    <r>
      <t>Max 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ambient)</t>
    </r>
  </si>
  <si>
    <r>
      <t>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rise)</t>
    </r>
  </si>
  <si>
    <t xml:space="preserve">Total Loss: </t>
  </si>
  <si>
    <t>Standard</t>
  </si>
  <si>
    <t>kHz</t>
  </si>
  <si>
    <t>ns</t>
  </si>
  <si>
    <t>IOUT RMS (A)</t>
  </si>
  <si>
    <t>IOUT Peak (A)</t>
  </si>
  <si>
    <t>Pind</t>
  </si>
  <si>
    <t xml:space="preserve">This tool is intended for informational use only and does not guarantee values or design parameters. </t>
  </si>
  <si>
    <t>Notes:</t>
  </si>
  <si>
    <t>Some of the cells have prepopulated formulas in them to offer suggested values. These may be changed by the user.</t>
  </si>
  <si>
    <t>NCV97310 Thermal Calculation Tool</t>
  </si>
  <si>
    <t>Revision: 4.0</t>
  </si>
  <si>
    <t>Date Released: November 14,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</si>
</sst>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u/>
      <sz val="11"/>
      <color theme="1"/>
      <name val="Calibri"/>
      <family val="2"/>
    </font>
    <font>
      <sz val="11"/>
      <color theme="7" tint="0.59999389629810485"/>
      <name val="Calibri"/>
      <family val="2"/>
      <scheme val="minor"/>
    </font>
    <font>
      <sz val="11"/>
      <color theme="7" tint="0.59999389629810485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</font>
    <font>
      <sz val="11"/>
      <color theme="6" tint="0.39997558519241921"/>
      <name val="Calibri"/>
      <family val="2"/>
      <scheme val="minor"/>
    </font>
    <font>
      <sz val="11"/>
      <color theme="6" tint="0.39997558519241921"/>
      <name val="Calibri"/>
      <family val="2"/>
    </font>
    <font>
      <b/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</cellStyleXfs>
  <cellXfs count="93">
    <xf numFmtId="0" fontId="0" fillId="0" borderId="0" xfId="0"/>
    <xf numFmtId="0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2" borderId="0" xfId="0" applyNumberFormat="1" applyFill="1"/>
    <xf numFmtId="2" fontId="0" fillId="2" borderId="0" xfId="0" applyNumberFormat="1" applyFill="1"/>
    <xf numFmtId="0" fontId="1" fillId="2" borderId="0" xfId="0" applyFont="1" applyFill="1"/>
    <xf numFmtId="2" fontId="1" fillId="2" borderId="0" xfId="0" applyNumberFormat="1" applyFont="1" applyFill="1"/>
    <xf numFmtId="0" fontId="0" fillId="3" borderId="0" xfId="0" applyFill="1"/>
    <xf numFmtId="0" fontId="0" fillId="3" borderId="0" xfId="0" applyNumberFormat="1" applyFill="1"/>
    <xf numFmtId="2" fontId="0" fillId="3" borderId="0" xfId="0" applyNumberFormat="1" applyFill="1"/>
    <xf numFmtId="0" fontId="1" fillId="3" borderId="0" xfId="0" applyFont="1" applyFill="1"/>
    <xf numFmtId="2" fontId="1" fillId="3" borderId="0" xfId="0" applyNumberFormat="1" applyFont="1" applyFill="1"/>
    <xf numFmtId="0" fontId="0" fillId="4" borderId="0" xfId="0" applyFill="1"/>
    <xf numFmtId="0" fontId="0" fillId="4" borderId="0" xfId="0" applyNumberFormat="1" applyFill="1"/>
    <xf numFmtId="2" fontId="0" fillId="4" borderId="0" xfId="0" applyNumberFormat="1" applyFill="1"/>
    <xf numFmtId="0" fontId="1" fillId="4" borderId="0" xfId="0" applyFont="1" applyFill="1"/>
    <xf numFmtId="2" fontId="1" fillId="4" borderId="0" xfId="0" applyNumberFormat="1" applyFont="1" applyFill="1"/>
    <xf numFmtId="2" fontId="0" fillId="5" borderId="1" xfId="0" applyNumberFormat="1" applyFill="1" applyBorder="1"/>
    <xf numFmtId="0" fontId="0" fillId="5" borderId="2" xfId="0" applyFill="1" applyBorder="1"/>
    <xf numFmtId="0" fontId="1" fillId="3" borderId="0" xfId="0" applyFont="1" applyFill="1" applyAlignment="1"/>
    <xf numFmtId="0" fontId="0" fillId="7" borderId="1" xfId="0" applyFill="1" applyBorder="1"/>
    <xf numFmtId="0" fontId="0" fillId="7" borderId="2" xfId="0" applyFill="1" applyBorder="1"/>
    <xf numFmtId="0" fontId="0" fillId="3" borderId="2" xfId="0" applyFill="1" applyBorder="1"/>
    <xf numFmtId="0" fontId="2" fillId="3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4" borderId="2" xfId="0" applyFill="1" applyBorder="1"/>
    <xf numFmtId="0" fontId="2" fillId="4" borderId="2" xfId="0" applyFont="1" applyFill="1" applyBorder="1"/>
    <xf numFmtId="0" fontId="3" fillId="6" borderId="3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/>
    <xf numFmtId="0" fontId="2" fillId="6" borderId="7" xfId="0" applyFont="1" applyFill="1" applyBorder="1"/>
    <xf numFmtId="0" fontId="5" fillId="6" borderId="4" xfId="0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0" fillId="7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12" fillId="4" borderId="0" xfId="0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0" fillId="0" borderId="9" xfId="0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0" xfId="0" applyFont="1" applyFill="1" applyBorder="1"/>
    <xf numFmtId="0" fontId="10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5" fillId="3" borderId="0" xfId="0" applyFont="1" applyFill="1"/>
    <xf numFmtId="2" fontId="15" fillId="3" borderId="0" xfId="0" applyNumberFormat="1" applyFont="1" applyFill="1"/>
    <xf numFmtId="0" fontId="15" fillId="3" borderId="0" xfId="0" applyNumberFormat="1" applyFont="1" applyFill="1"/>
    <xf numFmtId="0" fontId="16" fillId="3" borderId="0" xfId="0" applyFont="1" applyFill="1"/>
    <xf numFmtId="0" fontId="17" fillId="2" borderId="0" xfId="0" applyFont="1" applyFill="1"/>
    <xf numFmtId="2" fontId="17" fillId="2" borderId="0" xfId="0" applyNumberFormat="1" applyFont="1" applyFill="1"/>
    <xf numFmtId="0" fontId="17" fillId="2" borderId="0" xfId="0" applyNumberFormat="1" applyFont="1" applyFill="1"/>
    <xf numFmtId="0" fontId="18" fillId="2" borderId="0" xfId="0" applyFont="1" applyFill="1"/>
    <xf numFmtId="0" fontId="19" fillId="4" borderId="0" xfId="0" applyFont="1" applyFill="1"/>
    <xf numFmtId="0" fontId="19" fillId="4" borderId="0" xfId="0" applyNumberFormat="1" applyFont="1" applyFill="1"/>
    <xf numFmtId="0" fontId="20" fillId="4" borderId="0" xfId="0" applyFont="1" applyFill="1"/>
    <xf numFmtId="2" fontId="19" fillId="4" borderId="0" xfId="0" applyNumberFormat="1" applyFont="1" applyFill="1"/>
    <xf numFmtId="0" fontId="21" fillId="8" borderId="0" xfId="1" applyFont="1" applyAlignment="1">
      <alignment wrapText="1"/>
    </xf>
    <xf numFmtId="0" fontId="13" fillId="8" borderId="0" xfId="1" applyAlignment="1">
      <alignment wrapText="1"/>
    </xf>
    <xf numFmtId="0" fontId="0" fillId="0" borderId="0" xfId="0" applyAlignment="1">
      <alignment wrapText="1"/>
    </xf>
    <xf numFmtId="0" fontId="14" fillId="9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123825</xdr:rowOff>
        </xdr:from>
        <xdr:to>
          <xdr:col>14</xdr:col>
          <xdr:colOff>676275</xdr:colOff>
          <xdr:row>22</xdr:row>
          <xdr:rowOff>38100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9"/>
  <sheetViews>
    <sheetView tabSelected="1" workbookViewId="0"/>
  </sheetViews>
  <sheetFormatPr defaultRowHeight="15" x14ac:dyDescent="0.25"/>
  <cols>
    <col min="2" max="2" width="54.85546875" style="91" customWidth="1"/>
  </cols>
  <sheetData>
    <row r="4" spans="2:2" x14ac:dyDescent="0.25">
      <c r="B4" s="89" t="s">
        <v>56</v>
      </c>
    </row>
    <row r="5" spans="2:2" x14ac:dyDescent="0.25">
      <c r="B5" s="90"/>
    </row>
    <row r="6" spans="2:2" ht="30" x14ac:dyDescent="0.25">
      <c r="B6" s="90" t="s">
        <v>53</v>
      </c>
    </row>
    <row r="7" spans="2:2" x14ac:dyDescent="0.25">
      <c r="B7" s="90"/>
    </row>
    <row r="9" spans="2:2" x14ac:dyDescent="0.25">
      <c r="B9" s="91" t="s">
        <v>54</v>
      </c>
    </row>
    <row r="10" spans="2:2" ht="30" x14ac:dyDescent="0.25">
      <c r="B10" s="91" t="s">
        <v>55</v>
      </c>
    </row>
    <row r="15" spans="2:2" x14ac:dyDescent="0.25">
      <c r="B15" s="92" t="s">
        <v>57</v>
      </c>
    </row>
    <row r="16" spans="2:2" x14ac:dyDescent="0.25">
      <c r="B16" s="92" t="s">
        <v>58</v>
      </c>
    </row>
    <row r="17" spans="2:2" x14ac:dyDescent="0.25">
      <c r="B17" s="92"/>
    </row>
    <row r="18" spans="2:2" x14ac:dyDescent="0.25">
      <c r="B18" s="92"/>
    </row>
    <row r="19" spans="2:2" x14ac:dyDescent="0.25">
      <c r="B19" s="92"/>
    </row>
  </sheetData>
  <sheetProtection password="F765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RowHeight="15" x14ac:dyDescent="0.25"/>
  <cols>
    <col min="1" max="1" width="22.7109375" bestFit="1" customWidth="1"/>
    <col min="2" max="2" width="9.140625" style="1"/>
    <col min="3" max="3" width="4.140625" bestFit="1" customWidth="1"/>
    <col min="5" max="5" width="14.140625" bestFit="1" customWidth="1"/>
    <col min="6" max="6" width="9" style="2" customWidth="1"/>
    <col min="7" max="7" width="3" bestFit="1" customWidth="1"/>
    <col min="9" max="10" width="9.140625" customWidth="1"/>
    <col min="11" max="11" width="22.7109375" customWidth="1"/>
    <col min="12" max="12" width="9.140625" customWidth="1"/>
    <col min="13" max="13" width="5.5703125" bestFit="1" customWidth="1"/>
    <col min="14" max="14" width="9.140625" customWidth="1"/>
    <col min="15" max="15" width="12" bestFit="1" customWidth="1"/>
    <col min="17" max="17" width="3" bestFit="1" customWidth="1"/>
  </cols>
  <sheetData>
    <row r="1" spans="1:19" ht="15.75" thickBot="1" x14ac:dyDescent="0.3">
      <c r="E1" s="42" t="s">
        <v>46</v>
      </c>
      <c r="F1" s="18">
        <f>F23+F39+P39+F55</f>
        <v>1.5498469114511508</v>
      </c>
      <c r="G1" s="19" t="s">
        <v>4</v>
      </c>
      <c r="K1" s="29" t="s">
        <v>39</v>
      </c>
      <c r="L1" s="48" t="s">
        <v>40</v>
      </c>
      <c r="M1" s="48"/>
      <c r="N1" s="33" t="s">
        <v>45</v>
      </c>
      <c r="O1" s="49" t="s">
        <v>44</v>
      </c>
      <c r="P1" s="50"/>
    </row>
    <row r="2" spans="1:19" ht="15.75" thickBot="1" x14ac:dyDescent="0.3">
      <c r="K2" s="30" t="s">
        <v>38</v>
      </c>
      <c r="L2" s="31">
        <v>25</v>
      </c>
      <c r="M2" s="32" t="s">
        <v>37</v>
      </c>
      <c r="N2" s="34">
        <f>F1*L2</f>
        <v>38.74617278627877</v>
      </c>
      <c r="O2" s="51">
        <f>150-N2</f>
        <v>111.25382721372122</v>
      </c>
      <c r="P2" s="52"/>
      <c r="Q2" s="58" t="s">
        <v>47</v>
      </c>
      <c r="R2" s="47"/>
      <c r="S2" s="47"/>
    </row>
    <row r="6" spans="1:19" ht="15.75" thickBot="1" x14ac:dyDescent="0.3">
      <c r="A6" s="53" t="s">
        <v>41</v>
      </c>
      <c r="B6" s="53"/>
      <c r="C6" s="53"/>
      <c r="D6" s="53"/>
      <c r="E6" s="53"/>
      <c r="F6" s="53"/>
      <c r="G6" s="53"/>
      <c r="H6" s="20"/>
      <c r="I6" s="20"/>
    </row>
    <row r="7" spans="1:19" ht="15.75" thickBot="1" x14ac:dyDescent="0.3">
      <c r="A7" s="8" t="s">
        <v>0</v>
      </c>
      <c r="B7" s="35">
        <v>13.2</v>
      </c>
      <c r="C7" s="23" t="s">
        <v>3</v>
      </c>
      <c r="D7" s="8"/>
      <c r="E7" s="8" t="s">
        <v>6</v>
      </c>
      <c r="F7" s="10">
        <f>(B8+B19+F9*B11)/(B7-(B11*B13)+B19)</f>
        <v>0.41997311386577652</v>
      </c>
      <c r="G7" s="8"/>
      <c r="H7" s="8"/>
      <c r="I7" s="8"/>
    </row>
    <row r="8" spans="1:19" ht="15.75" thickBot="1" x14ac:dyDescent="0.3">
      <c r="A8" s="8" t="s">
        <v>29</v>
      </c>
      <c r="B8" s="35">
        <v>5</v>
      </c>
      <c r="C8" s="23" t="s">
        <v>3</v>
      </c>
      <c r="D8" s="8"/>
      <c r="E8" s="77" t="s">
        <v>7</v>
      </c>
      <c r="F8" s="78">
        <f>SQRT(B11^2+B12^2/12)</f>
        <v>1.8568307852391777</v>
      </c>
      <c r="G8" s="77" t="s">
        <v>5</v>
      </c>
      <c r="H8" s="8"/>
      <c r="I8" s="8"/>
    </row>
    <row r="9" spans="1:19" ht="15.75" thickBot="1" x14ac:dyDescent="0.3">
      <c r="A9" s="8" t="s">
        <v>1</v>
      </c>
      <c r="B9" s="10">
        <f>F40+P40+F56</f>
        <v>4.1173116523323356</v>
      </c>
      <c r="C9" s="8" t="s">
        <v>4</v>
      </c>
      <c r="D9" s="8"/>
      <c r="E9" s="8" t="s">
        <v>34</v>
      </c>
      <c r="F9" s="37">
        <v>0.03</v>
      </c>
      <c r="G9" s="24" t="s">
        <v>15</v>
      </c>
      <c r="H9" s="8"/>
      <c r="I9" s="8"/>
    </row>
    <row r="10" spans="1:19" ht="15.75" thickBot="1" x14ac:dyDescent="0.3">
      <c r="A10" s="21" t="s">
        <v>2</v>
      </c>
      <c r="B10" s="36">
        <v>1</v>
      </c>
      <c r="C10" s="22" t="s">
        <v>5</v>
      </c>
      <c r="D10" s="8"/>
      <c r="E10" s="8"/>
      <c r="F10" s="10"/>
      <c r="G10" s="8"/>
      <c r="H10" s="8"/>
      <c r="I10" s="8"/>
    </row>
    <row r="11" spans="1:19" x14ac:dyDescent="0.25">
      <c r="A11" s="8" t="s">
        <v>18</v>
      </c>
      <c r="B11" s="10">
        <f>B9/B8+B10+B22</f>
        <v>1.8484623304664671</v>
      </c>
      <c r="C11" s="8" t="s">
        <v>5</v>
      </c>
      <c r="D11" s="8"/>
      <c r="E11" s="8"/>
      <c r="F11" s="10"/>
      <c r="G11" s="8"/>
      <c r="H11" s="56"/>
      <c r="I11" s="56"/>
    </row>
    <row r="12" spans="1:19" x14ac:dyDescent="0.25">
      <c r="A12" s="8" t="s">
        <v>24</v>
      </c>
      <c r="B12" s="10">
        <f>0.33*B11</f>
        <v>0.60999256905393417</v>
      </c>
      <c r="C12" s="8" t="s">
        <v>5</v>
      </c>
      <c r="D12" s="8"/>
      <c r="E12" s="8"/>
      <c r="F12" s="10"/>
      <c r="G12" s="8"/>
      <c r="H12" s="59"/>
      <c r="I12" s="59"/>
    </row>
    <row r="13" spans="1:19" x14ac:dyDescent="0.25">
      <c r="A13" s="77" t="s">
        <v>8</v>
      </c>
      <c r="B13" s="79">
        <v>0.33</v>
      </c>
      <c r="C13" s="80" t="s">
        <v>15</v>
      </c>
      <c r="D13" s="8"/>
      <c r="E13" s="8" t="s">
        <v>20</v>
      </c>
      <c r="F13" s="10">
        <f>(F7*F8^2*B13)+((1-F7)*F8^2*B14)</f>
        <v>0.47783733978371357</v>
      </c>
      <c r="G13" s="8" t="s">
        <v>4</v>
      </c>
      <c r="H13" s="8"/>
      <c r="I13" s="8"/>
    </row>
    <row r="14" spans="1:19" x14ac:dyDescent="0.25">
      <c r="A14" s="77" t="s">
        <v>9</v>
      </c>
      <c r="B14" s="79">
        <v>0</v>
      </c>
      <c r="C14" s="80" t="s">
        <v>15</v>
      </c>
      <c r="D14" s="8"/>
      <c r="E14" s="8"/>
      <c r="F14" s="10"/>
      <c r="G14" s="8"/>
      <c r="H14" s="56" t="s">
        <v>50</v>
      </c>
      <c r="I14" s="56"/>
    </row>
    <row r="15" spans="1:19" x14ac:dyDescent="0.25">
      <c r="A15" s="77" t="s">
        <v>10</v>
      </c>
      <c r="B15" s="79">
        <v>5</v>
      </c>
      <c r="C15" s="80" t="s">
        <v>49</v>
      </c>
      <c r="D15" s="8"/>
      <c r="E15" s="8" t="s">
        <v>19</v>
      </c>
      <c r="F15" s="10">
        <f>0.5*B7*B11*((B15+B16)*0.000000001)*(B17*1000)</f>
        <v>0.17079791933510158</v>
      </c>
      <c r="G15" s="8" t="s">
        <v>4</v>
      </c>
      <c r="H15" s="57">
        <f>F8</f>
        <v>1.8568307852391777</v>
      </c>
      <c r="I15" s="57"/>
    </row>
    <row r="16" spans="1:19" ht="15.75" thickBot="1" x14ac:dyDescent="0.3">
      <c r="A16" s="77" t="s">
        <v>11</v>
      </c>
      <c r="B16" s="79">
        <v>2</v>
      </c>
      <c r="C16" s="80" t="s">
        <v>49</v>
      </c>
      <c r="D16" s="8"/>
      <c r="E16" s="8" t="s">
        <v>52</v>
      </c>
      <c r="F16" s="10">
        <f>F8^2*F9</f>
        <v>0.10343461695035823</v>
      </c>
      <c r="G16" s="8"/>
      <c r="H16" s="8"/>
      <c r="I16" s="8"/>
    </row>
    <row r="17" spans="1:19" ht="15.75" thickBot="1" x14ac:dyDescent="0.3">
      <c r="A17" s="8" t="s">
        <v>12</v>
      </c>
      <c r="B17" s="35">
        <v>2000</v>
      </c>
      <c r="C17" s="23" t="s">
        <v>48</v>
      </c>
      <c r="D17" s="8"/>
      <c r="E17" s="8"/>
      <c r="F17" s="10"/>
      <c r="G17" s="8"/>
      <c r="H17" s="56" t="s">
        <v>51</v>
      </c>
      <c r="I17" s="56"/>
    </row>
    <row r="18" spans="1:19" x14ac:dyDescent="0.25">
      <c r="A18" s="8" t="s">
        <v>13</v>
      </c>
      <c r="B18" s="9">
        <v>4.0000000000000001E-3</v>
      </c>
      <c r="C18" s="8" t="s">
        <v>5</v>
      </c>
      <c r="D18" s="8"/>
      <c r="E18" s="8" t="s">
        <v>21</v>
      </c>
      <c r="F18" s="10">
        <f>B7*B18</f>
        <v>5.28E-2</v>
      </c>
      <c r="G18" s="8" t="s">
        <v>4</v>
      </c>
      <c r="H18" s="57">
        <f>F8+B12/2</f>
        <v>2.1618270697661446</v>
      </c>
      <c r="I18" s="57"/>
    </row>
    <row r="19" spans="1:19" x14ac:dyDescent="0.25">
      <c r="A19" s="8" t="s">
        <v>14</v>
      </c>
      <c r="B19" s="9">
        <f>IF(B11&lt;1,0.25,IF(B11&lt;1.5,0.35,IF(B11&lt;2,0.4,IF(B11&lt;2.5,0.45,IF(B11&lt;3,0.48,0.5)))))</f>
        <v>0.4</v>
      </c>
      <c r="C19" s="8" t="s">
        <v>3</v>
      </c>
      <c r="D19" s="8"/>
      <c r="E19" s="8" t="s">
        <v>22</v>
      </c>
      <c r="F19" s="10">
        <f>(1-F7)*(B19*F8)</f>
        <v>0.43080471137617815</v>
      </c>
      <c r="G19" s="8" t="s">
        <v>4</v>
      </c>
      <c r="H19" s="8"/>
      <c r="I19" s="8"/>
    </row>
    <row r="20" spans="1:19" x14ac:dyDescent="0.25">
      <c r="A20" s="8"/>
      <c r="B20" s="9"/>
      <c r="C20" s="8"/>
      <c r="D20" s="8"/>
      <c r="E20" s="8" t="s">
        <v>23</v>
      </c>
      <c r="F20" s="10">
        <f>F15+F13+F18</f>
        <v>0.7014352591188151</v>
      </c>
      <c r="G20" s="8" t="s">
        <v>4</v>
      </c>
      <c r="H20" s="8"/>
      <c r="I20" s="8"/>
    </row>
    <row r="21" spans="1:19" x14ac:dyDescent="0.25">
      <c r="A21" s="8" t="s">
        <v>16</v>
      </c>
      <c r="B21" s="9">
        <v>1.4E-2</v>
      </c>
      <c r="C21" s="8" t="s">
        <v>5</v>
      </c>
      <c r="D21" s="8"/>
      <c r="E21" s="8" t="s">
        <v>26</v>
      </c>
      <c r="F21" s="10">
        <f>(B7-3.3)*B21</f>
        <v>0.13859999999999997</v>
      </c>
      <c r="G21" s="8" t="s">
        <v>4</v>
      </c>
      <c r="H21" s="8"/>
      <c r="I21" s="8"/>
    </row>
    <row r="22" spans="1:19" x14ac:dyDescent="0.25">
      <c r="A22" s="8" t="s">
        <v>17</v>
      </c>
      <c r="B22" s="9">
        <v>2.5000000000000001E-2</v>
      </c>
      <c r="C22" s="8" t="s">
        <v>5</v>
      </c>
      <c r="D22" s="8"/>
      <c r="E22" s="8" t="s">
        <v>27</v>
      </c>
      <c r="F22" s="10">
        <f>IF((B8-3.3)&lt;0.5, 0.5*B22, (B8-3.3)*B22)</f>
        <v>4.250000000000001E-2</v>
      </c>
      <c r="G22" s="8" t="s">
        <v>4</v>
      </c>
      <c r="H22" s="8"/>
      <c r="I22" s="8"/>
    </row>
    <row r="23" spans="1:19" x14ac:dyDescent="0.25">
      <c r="A23" s="8"/>
      <c r="B23" s="9"/>
      <c r="C23" s="8"/>
      <c r="D23" s="8"/>
      <c r="E23" s="11" t="s">
        <v>25</v>
      </c>
      <c r="F23" s="12">
        <f>SUM(F20:F22)</f>
        <v>0.88253525911881503</v>
      </c>
      <c r="G23" s="11" t="s">
        <v>4</v>
      </c>
      <c r="H23" s="8"/>
      <c r="I23" s="8"/>
    </row>
    <row r="24" spans="1:19" x14ac:dyDescent="0.25">
      <c r="A24" s="8"/>
      <c r="B24" s="9"/>
      <c r="C24" s="8"/>
      <c r="D24" s="8"/>
      <c r="E24" s="8" t="s">
        <v>28</v>
      </c>
      <c r="F24" s="10">
        <f>F23+(B11*B8)</f>
        <v>10.124846911451151</v>
      </c>
      <c r="G24" s="8" t="s">
        <v>4</v>
      </c>
      <c r="H24" s="8"/>
      <c r="I24" s="8"/>
    </row>
    <row r="26" spans="1:19" ht="15.75" thickBot="1" x14ac:dyDescent="0.3">
      <c r="A26" s="54" t="s">
        <v>42</v>
      </c>
      <c r="B26" s="54"/>
      <c r="C26" s="54"/>
      <c r="D26" s="54"/>
      <c r="E26" s="54"/>
      <c r="F26" s="54"/>
      <c r="G26" s="54"/>
      <c r="H26" s="3"/>
      <c r="I26" s="3"/>
      <c r="K26" s="55" t="s">
        <v>43</v>
      </c>
      <c r="L26" s="55"/>
      <c r="M26" s="55"/>
      <c r="N26" s="55"/>
      <c r="O26" s="55"/>
      <c r="P26" s="55"/>
      <c r="Q26" s="55"/>
      <c r="R26" s="13"/>
      <c r="S26" s="13"/>
    </row>
    <row r="27" spans="1:19" ht="15.75" thickBot="1" x14ac:dyDescent="0.3">
      <c r="A27" s="3" t="s">
        <v>30</v>
      </c>
      <c r="B27" s="38">
        <f>B8</f>
        <v>5</v>
      </c>
      <c r="C27" s="25" t="s">
        <v>3</v>
      </c>
      <c r="D27" s="3"/>
      <c r="E27" s="3" t="s">
        <v>6</v>
      </c>
      <c r="F27" s="5">
        <f>(B28+(B29*B32)+(F29*B29))/(B27-(B29*B31)+(B29*B32))</f>
        <v>0.68643216080402014</v>
      </c>
      <c r="G27" s="3"/>
      <c r="H27" s="3"/>
      <c r="I27" s="3"/>
      <c r="K27" s="13" t="s">
        <v>30</v>
      </c>
      <c r="L27" s="40">
        <f>B8</f>
        <v>5</v>
      </c>
      <c r="M27" s="27" t="s">
        <v>3</v>
      </c>
      <c r="N27" s="13"/>
      <c r="O27" s="13" t="s">
        <v>6</v>
      </c>
      <c r="P27" s="15">
        <f>(L28+(L29*L32)+(P29*L29))/(L27-(L29*L31)+(L29*L32))</f>
        <v>0.31086519114688127</v>
      </c>
      <c r="Q27" s="13"/>
      <c r="R27" s="13"/>
      <c r="S27" s="13"/>
    </row>
    <row r="28" spans="1:19" ht="15.75" thickBot="1" x14ac:dyDescent="0.3">
      <c r="A28" s="3" t="s">
        <v>31</v>
      </c>
      <c r="B28" s="38">
        <v>3.3</v>
      </c>
      <c r="C28" s="25" t="s">
        <v>3</v>
      </c>
      <c r="D28" s="3"/>
      <c r="E28" s="81" t="s">
        <v>7</v>
      </c>
      <c r="F28" s="82">
        <f>SQRT(B29^2+B30^2/12)</f>
        <v>0.50226362599734409</v>
      </c>
      <c r="G28" s="81" t="s">
        <v>5</v>
      </c>
      <c r="H28" s="3"/>
      <c r="I28" s="3"/>
      <c r="K28" s="13" t="s">
        <v>35</v>
      </c>
      <c r="L28" s="40">
        <v>1.2</v>
      </c>
      <c r="M28" s="27" t="s">
        <v>3</v>
      </c>
      <c r="N28" s="13"/>
      <c r="O28" s="85" t="s">
        <v>7</v>
      </c>
      <c r="P28" s="88">
        <f>SQRT(L29^2+L30^2/12)</f>
        <v>1.5067908779920325</v>
      </c>
      <c r="Q28" s="85" t="s">
        <v>5</v>
      </c>
      <c r="R28" s="13"/>
      <c r="S28" s="13"/>
    </row>
    <row r="29" spans="1:19" ht="15.75" thickBot="1" x14ac:dyDescent="0.3">
      <c r="A29" s="3" t="s">
        <v>32</v>
      </c>
      <c r="B29" s="38">
        <v>0.5</v>
      </c>
      <c r="C29" s="25" t="s">
        <v>5</v>
      </c>
      <c r="D29" s="3"/>
      <c r="E29" s="3" t="s">
        <v>34</v>
      </c>
      <c r="F29" s="39">
        <v>0.03</v>
      </c>
      <c r="G29" s="26" t="s">
        <v>15</v>
      </c>
      <c r="H29" s="3"/>
      <c r="I29" s="3"/>
      <c r="K29" s="13" t="s">
        <v>36</v>
      </c>
      <c r="L29" s="40">
        <v>1.5</v>
      </c>
      <c r="M29" s="27" t="s">
        <v>5</v>
      </c>
      <c r="N29" s="13"/>
      <c r="O29" s="13" t="s">
        <v>34</v>
      </c>
      <c r="P29" s="41">
        <v>0.03</v>
      </c>
      <c r="Q29" s="28" t="s">
        <v>15</v>
      </c>
      <c r="R29" s="13"/>
      <c r="S29" s="13"/>
    </row>
    <row r="30" spans="1:19" x14ac:dyDescent="0.25">
      <c r="A30" s="3" t="s">
        <v>24</v>
      </c>
      <c r="B30" s="5">
        <f>0.33*B29</f>
        <v>0.16500000000000001</v>
      </c>
      <c r="C30" s="3" t="s">
        <v>5</v>
      </c>
      <c r="D30" s="3"/>
      <c r="E30" s="3"/>
      <c r="F30" s="5"/>
      <c r="G30" s="3"/>
      <c r="H30" s="46"/>
      <c r="I30" s="46"/>
      <c r="K30" s="13" t="s">
        <v>24</v>
      </c>
      <c r="L30" s="15">
        <f>0.33*L29</f>
        <v>0.495</v>
      </c>
      <c r="M30" s="13" t="s">
        <v>5</v>
      </c>
      <c r="N30" s="13"/>
      <c r="O30" s="13"/>
      <c r="P30" s="15"/>
      <c r="Q30" s="13"/>
      <c r="R30" s="43"/>
      <c r="S30" s="43"/>
    </row>
    <row r="31" spans="1:19" x14ac:dyDescent="0.25">
      <c r="A31" s="81" t="s">
        <v>8</v>
      </c>
      <c r="B31" s="83">
        <v>0.25</v>
      </c>
      <c r="C31" s="84" t="s">
        <v>15</v>
      </c>
      <c r="D31" s="3"/>
      <c r="E31" s="3" t="s">
        <v>20</v>
      </c>
      <c r="F31" s="5">
        <f>(F27*F28^2*B31)+((1-F27)*F28^2*B32)</f>
        <v>5.9112019158291437E-2</v>
      </c>
      <c r="G31" s="3" t="s">
        <v>4</v>
      </c>
      <c r="H31" s="60"/>
      <c r="I31" s="60"/>
      <c r="K31" s="85" t="s">
        <v>8</v>
      </c>
      <c r="L31" s="86">
        <v>0.22</v>
      </c>
      <c r="M31" s="87" t="s">
        <v>15</v>
      </c>
      <c r="N31" s="13"/>
      <c r="O31" s="13" t="s">
        <v>20</v>
      </c>
      <c r="P31" s="15">
        <f>(P27*P28^2*L31)+((1-P27)*P28^2*L32)</f>
        <v>0.46819963317404434</v>
      </c>
      <c r="Q31" s="13" t="s">
        <v>4</v>
      </c>
      <c r="R31" s="61"/>
      <c r="S31" s="61"/>
    </row>
    <row r="32" spans="1:19" x14ac:dyDescent="0.25">
      <c r="A32" s="81" t="s">
        <v>9</v>
      </c>
      <c r="B32" s="83">
        <v>0.2</v>
      </c>
      <c r="C32" s="84" t="s">
        <v>15</v>
      </c>
      <c r="D32" s="3"/>
      <c r="E32" s="3"/>
      <c r="F32" s="5"/>
      <c r="G32" s="3"/>
      <c r="H32" s="3"/>
      <c r="I32" s="3"/>
      <c r="K32" s="85" t="s">
        <v>9</v>
      </c>
      <c r="L32" s="86">
        <v>0.2</v>
      </c>
      <c r="M32" s="87" t="s">
        <v>15</v>
      </c>
      <c r="N32" s="13"/>
      <c r="O32" s="13"/>
      <c r="P32" s="15"/>
      <c r="Q32" s="13"/>
      <c r="R32" s="13"/>
      <c r="S32" s="13"/>
    </row>
    <row r="33" spans="1:19" x14ac:dyDescent="0.25">
      <c r="A33" s="81" t="s">
        <v>10</v>
      </c>
      <c r="B33" s="83">
        <v>3</v>
      </c>
      <c r="C33" s="84" t="s">
        <v>49</v>
      </c>
      <c r="D33" s="3"/>
      <c r="E33" s="3" t="s">
        <v>19</v>
      </c>
      <c r="F33" s="5">
        <f>B27*B29*((B33+B34)*0.000000001)*(B35*1000)</f>
        <v>2.4999999999999998E-2</v>
      </c>
      <c r="G33" s="3" t="s">
        <v>4</v>
      </c>
      <c r="H33" s="46" t="s">
        <v>50</v>
      </c>
      <c r="I33" s="46"/>
      <c r="K33" s="85" t="s">
        <v>10</v>
      </c>
      <c r="L33" s="86">
        <v>3</v>
      </c>
      <c r="M33" s="87" t="s">
        <v>49</v>
      </c>
      <c r="N33" s="13"/>
      <c r="O33" s="13" t="s">
        <v>19</v>
      </c>
      <c r="P33" s="15">
        <f>L27*L29*((L33+L34)*0.000000001)*(L35*1000)</f>
        <v>7.4999999999999997E-2</v>
      </c>
      <c r="Q33" s="13" t="s">
        <v>4</v>
      </c>
      <c r="R33" s="43" t="s">
        <v>50</v>
      </c>
      <c r="S33" s="43"/>
    </row>
    <row r="34" spans="1:19" x14ac:dyDescent="0.25">
      <c r="A34" s="81" t="s">
        <v>11</v>
      </c>
      <c r="B34" s="83">
        <v>2</v>
      </c>
      <c r="C34" s="84" t="s">
        <v>49</v>
      </c>
      <c r="D34" s="3"/>
      <c r="E34" s="3"/>
      <c r="F34" s="5"/>
      <c r="G34" s="3"/>
      <c r="H34" s="45">
        <f>F28</f>
        <v>0.50226362599734409</v>
      </c>
      <c r="I34" s="45"/>
      <c r="K34" s="85" t="s">
        <v>11</v>
      </c>
      <c r="L34" s="86">
        <v>2</v>
      </c>
      <c r="M34" s="87" t="s">
        <v>49</v>
      </c>
      <c r="N34" s="13"/>
      <c r="O34" s="13"/>
      <c r="P34" s="15"/>
      <c r="Q34" s="13"/>
      <c r="R34" s="44">
        <f>P28</f>
        <v>1.5067908779920325</v>
      </c>
      <c r="S34" s="44"/>
    </row>
    <row r="35" spans="1:19" x14ac:dyDescent="0.25">
      <c r="A35" s="3" t="s">
        <v>12</v>
      </c>
      <c r="B35" s="4">
        <f>B17</f>
        <v>2000</v>
      </c>
      <c r="C35" s="3" t="s">
        <v>48</v>
      </c>
      <c r="D35" s="3"/>
      <c r="E35" s="3"/>
      <c r="F35" s="5"/>
      <c r="G35" s="3"/>
      <c r="H35" s="3"/>
      <c r="I35" s="3"/>
      <c r="K35" s="13" t="s">
        <v>12</v>
      </c>
      <c r="L35" s="14">
        <f>B17</f>
        <v>2000</v>
      </c>
      <c r="M35" s="13" t="s">
        <v>48</v>
      </c>
      <c r="N35" s="13"/>
      <c r="O35" s="13"/>
      <c r="P35" s="15"/>
      <c r="Q35" s="13"/>
      <c r="R35" s="13"/>
      <c r="S35" s="13"/>
    </row>
    <row r="36" spans="1:19" x14ac:dyDescent="0.25">
      <c r="A36" s="3" t="s">
        <v>13</v>
      </c>
      <c r="B36" s="4">
        <v>4.0000000000000001E-3</v>
      </c>
      <c r="C36" s="3" t="s">
        <v>5</v>
      </c>
      <c r="D36" s="3"/>
      <c r="E36" s="3" t="s">
        <v>21</v>
      </c>
      <c r="F36" s="5">
        <f>B27*B36</f>
        <v>0.02</v>
      </c>
      <c r="G36" s="3" t="s">
        <v>4</v>
      </c>
      <c r="H36" s="46" t="s">
        <v>51</v>
      </c>
      <c r="I36" s="46"/>
      <c r="K36" s="13" t="s">
        <v>13</v>
      </c>
      <c r="L36" s="14">
        <v>4.0000000000000001E-3</v>
      </c>
      <c r="M36" s="13" t="s">
        <v>5</v>
      </c>
      <c r="N36" s="13"/>
      <c r="O36" s="13" t="s">
        <v>21</v>
      </c>
      <c r="P36" s="15">
        <f>L27*L36</f>
        <v>0.02</v>
      </c>
      <c r="Q36" s="13" t="s">
        <v>4</v>
      </c>
      <c r="R36" s="43" t="s">
        <v>51</v>
      </c>
      <c r="S36" s="43"/>
    </row>
    <row r="37" spans="1:19" x14ac:dyDescent="0.25">
      <c r="A37" s="81" t="s">
        <v>33</v>
      </c>
      <c r="B37" s="83"/>
      <c r="C37" s="81" t="s">
        <v>3</v>
      </c>
      <c r="D37" s="3"/>
      <c r="E37" s="3" t="s">
        <v>22</v>
      </c>
      <c r="F37" s="5"/>
      <c r="G37" s="3" t="s">
        <v>4</v>
      </c>
      <c r="H37" s="45">
        <f>B29+B30/2</f>
        <v>0.58250000000000002</v>
      </c>
      <c r="I37" s="45"/>
      <c r="K37" s="85" t="s">
        <v>33</v>
      </c>
      <c r="L37" s="86"/>
      <c r="M37" s="85" t="s">
        <v>3</v>
      </c>
      <c r="N37" s="13"/>
      <c r="O37" s="13" t="s">
        <v>22</v>
      </c>
      <c r="P37" s="15"/>
      <c r="Q37" s="13" t="s">
        <v>4</v>
      </c>
      <c r="R37" s="44">
        <f>L29+L30/2</f>
        <v>1.7475000000000001</v>
      </c>
      <c r="S37" s="44"/>
    </row>
    <row r="38" spans="1:19" x14ac:dyDescent="0.25">
      <c r="A38" s="3"/>
      <c r="B38" s="4"/>
      <c r="C38" s="3"/>
      <c r="D38" s="3"/>
      <c r="E38" s="3" t="s">
        <v>23</v>
      </c>
      <c r="F38" s="5">
        <f>F33+F31+F36</f>
        <v>0.10411201915829144</v>
      </c>
      <c r="G38" s="3" t="s">
        <v>4</v>
      </c>
      <c r="H38" s="3"/>
      <c r="I38" s="3"/>
      <c r="K38" s="13"/>
      <c r="L38" s="14"/>
      <c r="M38" s="13"/>
      <c r="N38" s="13"/>
      <c r="O38" s="13" t="s">
        <v>23</v>
      </c>
      <c r="P38" s="15">
        <f>P33+P31+P36</f>
        <v>0.56319963317404431</v>
      </c>
      <c r="Q38" s="13" t="s">
        <v>4</v>
      </c>
      <c r="R38" s="13"/>
      <c r="S38" s="13"/>
    </row>
    <row r="39" spans="1:19" x14ac:dyDescent="0.25">
      <c r="A39" s="3"/>
      <c r="B39" s="4"/>
      <c r="C39" s="3"/>
      <c r="D39" s="3"/>
      <c r="E39" s="6" t="s">
        <v>25</v>
      </c>
      <c r="F39" s="7">
        <f>F38</f>
        <v>0.10411201915829144</v>
      </c>
      <c r="G39" s="6" t="s">
        <v>4</v>
      </c>
      <c r="H39" s="3"/>
      <c r="I39" s="3"/>
      <c r="K39" s="13"/>
      <c r="L39" s="14"/>
      <c r="M39" s="13"/>
      <c r="N39" s="13"/>
      <c r="O39" s="16" t="s">
        <v>25</v>
      </c>
      <c r="P39" s="17">
        <f>P38</f>
        <v>0.56319963317404431</v>
      </c>
      <c r="Q39" s="16" t="s">
        <v>4</v>
      </c>
      <c r="R39" s="13"/>
      <c r="S39" s="13"/>
    </row>
    <row r="40" spans="1:19" x14ac:dyDescent="0.25">
      <c r="A40" s="3"/>
      <c r="B40" s="4"/>
      <c r="C40" s="3"/>
      <c r="D40" s="3"/>
      <c r="E40" s="3" t="s">
        <v>28</v>
      </c>
      <c r="F40" s="5">
        <f>(B28*B29)+F39</f>
        <v>1.7541120191582913</v>
      </c>
      <c r="G40" s="3" t="s">
        <v>4</v>
      </c>
      <c r="H40" s="3"/>
      <c r="I40" s="3"/>
      <c r="K40" s="13"/>
      <c r="L40" s="14"/>
      <c r="M40" s="13"/>
      <c r="N40" s="13"/>
      <c r="O40" s="13" t="s">
        <v>28</v>
      </c>
      <c r="P40" s="15">
        <f>(L28*L29)+P39</f>
        <v>2.3631996331740441</v>
      </c>
      <c r="Q40" s="13" t="s">
        <v>4</v>
      </c>
      <c r="R40" s="13"/>
      <c r="S40" s="13"/>
    </row>
    <row r="42" spans="1:19" x14ac:dyDescent="0.25">
      <c r="A42" s="73"/>
      <c r="B42" s="73"/>
      <c r="C42" s="73"/>
      <c r="D42" s="73"/>
      <c r="E42" s="73"/>
      <c r="F42" s="73"/>
      <c r="G42" s="73"/>
      <c r="H42" s="62"/>
      <c r="I42" s="62"/>
      <c r="J42" s="62"/>
    </row>
    <row r="43" spans="1:19" x14ac:dyDescent="0.25">
      <c r="A43" s="62"/>
      <c r="B43" s="63"/>
      <c r="C43" s="62"/>
      <c r="D43" s="62"/>
      <c r="E43" s="62"/>
      <c r="F43" s="64"/>
      <c r="G43" s="62"/>
      <c r="H43" s="62"/>
      <c r="I43" s="62"/>
      <c r="J43" s="62"/>
    </row>
    <row r="44" spans="1:19" x14ac:dyDescent="0.25">
      <c r="A44" s="62"/>
      <c r="B44" s="63"/>
      <c r="C44" s="62"/>
      <c r="D44" s="62"/>
      <c r="E44" s="65"/>
      <c r="F44" s="66"/>
      <c r="G44" s="65"/>
      <c r="H44" s="62"/>
      <c r="I44" s="62"/>
      <c r="J44" s="62"/>
    </row>
    <row r="45" spans="1:19" x14ac:dyDescent="0.25">
      <c r="A45" s="62"/>
      <c r="B45" s="63"/>
      <c r="C45" s="62"/>
      <c r="D45" s="62"/>
      <c r="E45" s="62"/>
      <c r="F45" s="64"/>
      <c r="G45" s="67"/>
      <c r="H45" s="74"/>
      <c r="I45" s="74"/>
      <c r="J45" s="62"/>
    </row>
    <row r="46" spans="1:19" x14ac:dyDescent="0.25">
      <c r="A46" s="62"/>
      <c r="B46" s="64"/>
      <c r="C46" s="62"/>
      <c r="D46" s="62"/>
      <c r="E46" s="62"/>
      <c r="F46" s="64"/>
      <c r="G46" s="62"/>
      <c r="H46" s="75"/>
      <c r="I46" s="75"/>
      <c r="J46" s="62"/>
    </row>
    <row r="47" spans="1:19" x14ac:dyDescent="0.25">
      <c r="A47" s="65"/>
      <c r="B47" s="68"/>
      <c r="C47" s="69"/>
      <c r="D47" s="62"/>
      <c r="E47" s="62"/>
      <c r="F47" s="64"/>
      <c r="G47" s="62"/>
      <c r="H47" s="62"/>
      <c r="I47" s="62"/>
      <c r="J47" s="62"/>
    </row>
    <row r="48" spans="1:19" x14ac:dyDescent="0.25">
      <c r="A48" s="62"/>
      <c r="B48" s="70"/>
      <c r="C48" s="62"/>
      <c r="D48" s="62"/>
      <c r="E48" s="62"/>
      <c r="F48" s="64"/>
      <c r="G48" s="62"/>
      <c r="H48" s="74"/>
      <c r="I48" s="74"/>
      <c r="J48" s="62"/>
      <c r="Q48" s="47"/>
      <c r="R48" s="47"/>
      <c r="S48" s="47"/>
    </row>
    <row r="49" spans="1:10" x14ac:dyDescent="0.25">
      <c r="A49" s="65"/>
      <c r="B49" s="68"/>
      <c r="C49" s="69"/>
      <c r="D49" s="62"/>
      <c r="E49" s="62"/>
      <c r="F49" s="64"/>
      <c r="G49" s="62"/>
      <c r="H49" s="76"/>
      <c r="I49" s="76"/>
      <c r="J49" s="62"/>
    </row>
    <row r="50" spans="1:10" x14ac:dyDescent="0.25">
      <c r="A50" s="65"/>
      <c r="B50" s="68"/>
      <c r="C50" s="69"/>
      <c r="D50" s="62"/>
      <c r="E50" s="62"/>
      <c r="F50" s="64"/>
      <c r="G50" s="62"/>
      <c r="H50" s="62"/>
      <c r="I50" s="62"/>
      <c r="J50" s="62"/>
    </row>
    <row r="51" spans="1:10" x14ac:dyDescent="0.25">
      <c r="A51" s="62"/>
      <c r="B51" s="70"/>
      <c r="C51" s="62"/>
      <c r="D51" s="62"/>
      <c r="E51" s="62"/>
      <c r="F51" s="64"/>
      <c r="G51" s="62"/>
      <c r="H51" s="74"/>
      <c r="I51" s="74"/>
      <c r="J51" s="62"/>
    </row>
    <row r="52" spans="1:10" x14ac:dyDescent="0.25">
      <c r="A52" s="62"/>
      <c r="B52" s="70"/>
      <c r="C52" s="62"/>
      <c r="D52" s="62"/>
      <c r="E52" s="62"/>
      <c r="F52" s="64"/>
      <c r="G52" s="62"/>
      <c r="H52" s="76"/>
      <c r="I52" s="76"/>
      <c r="J52" s="62"/>
    </row>
    <row r="53" spans="1:10" x14ac:dyDescent="0.25">
      <c r="A53" s="62"/>
      <c r="B53" s="70"/>
      <c r="C53" s="62"/>
      <c r="D53" s="62"/>
      <c r="E53" s="62"/>
      <c r="F53" s="64"/>
      <c r="G53" s="62"/>
      <c r="H53" s="62"/>
      <c r="I53" s="62"/>
      <c r="J53" s="62"/>
    </row>
    <row r="54" spans="1:10" x14ac:dyDescent="0.25">
      <c r="A54" s="62"/>
      <c r="B54" s="70"/>
      <c r="C54" s="62"/>
      <c r="D54" s="62"/>
      <c r="E54" s="62"/>
      <c r="F54" s="64"/>
      <c r="G54" s="62"/>
      <c r="H54" s="62"/>
      <c r="I54" s="62"/>
      <c r="J54" s="62"/>
    </row>
    <row r="55" spans="1:10" x14ac:dyDescent="0.25">
      <c r="A55" s="62"/>
      <c r="B55" s="70"/>
      <c r="C55" s="62"/>
      <c r="D55" s="62"/>
      <c r="E55" s="71"/>
      <c r="F55" s="72"/>
      <c r="G55" s="71"/>
      <c r="H55" s="62"/>
      <c r="I55" s="62"/>
      <c r="J55" s="62"/>
    </row>
    <row r="56" spans="1:10" x14ac:dyDescent="0.25">
      <c r="A56" s="62"/>
      <c r="B56" s="70"/>
      <c r="C56" s="62"/>
      <c r="D56" s="62"/>
      <c r="E56" s="62"/>
      <c r="F56" s="64"/>
      <c r="G56" s="62"/>
      <c r="H56" s="62"/>
      <c r="I56" s="62"/>
      <c r="J56" s="62"/>
    </row>
    <row r="57" spans="1:10" x14ac:dyDescent="0.25">
      <c r="A57" s="62"/>
      <c r="B57" s="70"/>
      <c r="C57" s="62"/>
      <c r="D57" s="62"/>
      <c r="E57" s="62"/>
      <c r="F57" s="64"/>
      <c r="G57" s="62"/>
      <c r="H57" s="62"/>
      <c r="I57" s="62"/>
      <c r="J57" s="62"/>
    </row>
    <row r="58" spans="1:10" x14ac:dyDescent="0.25">
      <c r="A58" s="62"/>
      <c r="B58" s="70"/>
      <c r="C58" s="62"/>
      <c r="D58" s="62"/>
      <c r="E58" s="62"/>
      <c r="F58" s="64"/>
      <c r="G58" s="62"/>
      <c r="H58" s="62"/>
      <c r="I58" s="62"/>
      <c r="J58" s="62"/>
    </row>
    <row r="59" spans="1:10" x14ac:dyDescent="0.25">
      <c r="A59" s="62"/>
      <c r="B59" s="70"/>
      <c r="C59" s="62"/>
      <c r="D59" s="62"/>
      <c r="E59" s="62"/>
      <c r="F59" s="64"/>
      <c r="G59" s="62"/>
      <c r="H59" s="62"/>
      <c r="I59" s="62"/>
      <c r="J59" s="62"/>
    </row>
  </sheetData>
  <sheetProtection password="F765" sheet="1" objects="1" scenarios="1" selectLockedCells="1"/>
  <mergeCells count="26">
    <mergeCell ref="Q2:S2"/>
    <mergeCell ref="H11:I11"/>
    <mergeCell ref="H12:I12"/>
    <mergeCell ref="H30:I30"/>
    <mergeCell ref="H31:I31"/>
    <mergeCell ref="R30:S30"/>
    <mergeCell ref="R31:S31"/>
    <mergeCell ref="H33:I33"/>
    <mergeCell ref="L1:M1"/>
    <mergeCell ref="O1:P1"/>
    <mergeCell ref="O2:P2"/>
    <mergeCell ref="A6:G6"/>
    <mergeCell ref="A26:G26"/>
    <mergeCell ref="K26:Q26"/>
    <mergeCell ref="H14:I14"/>
    <mergeCell ref="H15:I15"/>
    <mergeCell ref="H17:I17"/>
    <mergeCell ref="H18:I18"/>
    <mergeCell ref="R33:S33"/>
    <mergeCell ref="R34:S34"/>
    <mergeCell ref="R36:S36"/>
    <mergeCell ref="R37:S37"/>
    <mergeCell ref="H34:I34"/>
    <mergeCell ref="H36:I36"/>
    <mergeCell ref="H37:I37"/>
    <mergeCell ref="Q48:S48"/>
  </mergeCells>
  <pageMargins left="0.7" right="0.7" top="0.75" bottom="0.75" header="0.3" footer="0.3"/>
  <pageSetup orientation="portrait" r:id="rId1"/>
  <ignoredErrors>
    <ignoredError sqref="L27 B27" unlocked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045" r:id="rId4">
          <objectPr defaultSize="0" r:id="rId5">
            <anchor moveWithCells="1">
              <from>
                <xdr:col>10</xdr:col>
                <xdr:colOff>95250</xdr:colOff>
                <xdr:row>6</xdr:row>
                <xdr:rowOff>123825</xdr:rowOff>
              </from>
              <to>
                <xdr:col>14</xdr:col>
                <xdr:colOff>676275</xdr:colOff>
                <xdr:row>22</xdr:row>
                <xdr:rowOff>38100</xdr:rowOff>
              </to>
            </anchor>
          </objectPr>
        </oleObject>
      </mc:Choice>
      <mc:Fallback>
        <oleObject progId="Visio.Drawing.11" shapeId="10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Main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Majeika</dc:creator>
  <cp:lastModifiedBy>Matt Majeika</cp:lastModifiedBy>
  <dcterms:created xsi:type="dcterms:W3CDTF">2014-10-28T17:40:23Z</dcterms:created>
  <dcterms:modified xsi:type="dcterms:W3CDTF">2014-11-14T14:58:55Z</dcterms:modified>
</cp:coreProperties>
</file>