
<file path=[Content_Types].xml><?xml version="1.0" encoding="utf-8"?>
<Types xmlns="http://schemas.openxmlformats.org/package/2006/content-types">
  <Default Extension="vsd" ContentType="application/vnd.visio"/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 drive\Userdata\Philippe\PRODUCTS\SMPS Products\NP - 97400\"/>
    </mc:Choice>
  </mc:AlternateContent>
  <bookViews>
    <workbookView xWindow="240" yWindow="192" windowWidth="17268" windowHeight="7872" tabRatio="654"/>
  </bookViews>
  <sheets>
    <sheet name="NCV97400 Schematic" sheetId="3" r:id="rId1"/>
    <sheet name="NCV97400 Worst case" sheetId="1" r:id="rId2"/>
    <sheet name="NCV97400 Typical" sheetId="8" r:id="rId3"/>
  </sheets>
  <calcPr calcId="152511"/>
</workbook>
</file>

<file path=xl/calcChain.xml><?xml version="1.0" encoding="utf-8"?>
<calcChain xmlns="http://schemas.openxmlformats.org/spreadsheetml/2006/main">
  <c r="L41" i="1" l="1"/>
  <c r="L40" i="1"/>
  <c r="L39" i="1"/>
  <c r="L38" i="1"/>
  <c r="L37" i="1"/>
  <c r="B41" i="1"/>
  <c r="B40" i="1"/>
  <c r="B39" i="1"/>
  <c r="B38" i="1"/>
  <c r="F40" i="1" s="1"/>
  <c r="B37" i="1"/>
  <c r="L41" i="8"/>
  <c r="L40" i="8"/>
  <c r="L39" i="8"/>
  <c r="L38" i="8"/>
  <c r="L37" i="8"/>
  <c r="B41" i="8"/>
  <c r="B40" i="8"/>
  <c r="B39" i="8"/>
  <c r="B38" i="8"/>
  <c r="B37" i="8"/>
  <c r="P40" i="8" l="1"/>
  <c r="P40" i="1"/>
  <c r="F40" i="8" l="1"/>
  <c r="E42" i="8"/>
  <c r="O42" i="8"/>
  <c r="O42" i="1"/>
  <c r="E42" i="1"/>
  <c r="B48" i="8" l="1"/>
  <c r="L32" i="8"/>
  <c r="L31" i="8"/>
  <c r="B32" i="8"/>
  <c r="B31" i="8"/>
  <c r="B15" i="8"/>
  <c r="F52" i="8"/>
  <c r="F48" i="8"/>
  <c r="F51" i="8" s="1"/>
  <c r="F45" i="8"/>
  <c r="M41" i="8"/>
  <c r="K41" i="8"/>
  <c r="C41" i="8"/>
  <c r="A41" i="8"/>
  <c r="Q40" i="8"/>
  <c r="O40" i="8"/>
  <c r="M40" i="8"/>
  <c r="K40" i="8"/>
  <c r="G40" i="8"/>
  <c r="E40" i="8"/>
  <c r="C40" i="8"/>
  <c r="A40" i="8"/>
  <c r="M39" i="8"/>
  <c r="K39" i="8"/>
  <c r="C39" i="8"/>
  <c r="A39" i="8"/>
  <c r="M38" i="8"/>
  <c r="K38" i="8"/>
  <c r="C38" i="8"/>
  <c r="A38" i="8"/>
  <c r="M37" i="8"/>
  <c r="K37" i="8"/>
  <c r="C37" i="8"/>
  <c r="A37" i="8"/>
  <c r="K36" i="8"/>
  <c r="A36" i="8"/>
  <c r="Q35" i="8"/>
  <c r="O35" i="8"/>
  <c r="G35" i="8"/>
  <c r="E35" i="8"/>
  <c r="P34" i="8"/>
  <c r="F34" i="8"/>
  <c r="P30" i="8"/>
  <c r="R31" i="8" s="1"/>
  <c r="F30" i="8"/>
  <c r="H31" i="8" s="1"/>
  <c r="F27" i="8"/>
  <c r="G23" i="8"/>
  <c r="E23" i="8"/>
  <c r="G20" i="8"/>
  <c r="E20" i="8"/>
  <c r="B18" i="8"/>
  <c r="F17" i="8"/>
  <c r="F15" i="8"/>
  <c r="C13" i="8"/>
  <c r="A13" i="8"/>
  <c r="Q3" i="8"/>
  <c r="H3" i="8"/>
  <c r="G3" i="8"/>
  <c r="E3" i="8"/>
  <c r="L31" i="1"/>
  <c r="F35" i="1"/>
  <c r="A41" i="1"/>
  <c r="K41" i="1"/>
  <c r="A40" i="1"/>
  <c r="K40" i="1"/>
  <c r="A39" i="1"/>
  <c r="K39" i="1"/>
  <c r="A38" i="1"/>
  <c r="C41" i="1"/>
  <c r="C40" i="1"/>
  <c r="C39" i="1"/>
  <c r="C38" i="1"/>
  <c r="M41" i="1"/>
  <c r="M40" i="1"/>
  <c r="M39" i="1"/>
  <c r="M38" i="1"/>
  <c r="K37" i="1"/>
  <c r="K36" i="1"/>
  <c r="H49" i="8" l="1"/>
  <c r="R37" i="8"/>
  <c r="P33" i="8" s="1"/>
  <c r="R34" i="8"/>
  <c r="P31" i="8" s="1"/>
  <c r="H34" i="8"/>
  <c r="F31" i="8" s="1"/>
  <c r="H37" i="8"/>
  <c r="F33" i="8" s="1"/>
  <c r="H55" i="8"/>
  <c r="H52" i="8"/>
  <c r="F49" i="8" s="1"/>
  <c r="F50" i="8"/>
  <c r="F54" i="8" s="1"/>
  <c r="F55" i="8" s="1"/>
  <c r="P27" i="8"/>
  <c r="F35" i="8"/>
  <c r="F53" i="8"/>
  <c r="A36" i="1"/>
  <c r="F56" i="8" l="1"/>
  <c r="P35" i="8"/>
  <c r="F32" i="8"/>
  <c r="F36" i="8" s="1"/>
  <c r="F39" i="8" s="1"/>
  <c r="F42" i="8" s="1"/>
  <c r="P32" i="8"/>
  <c r="P36" i="8" s="1"/>
  <c r="G23" i="1"/>
  <c r="G20" i="1"/>
  <c r="E23" i="1"/>
  <c r="E20" i="1"/>
  <c r="C13" i="1"/>
  <c r="F17" i="1"/>
  <c r="F15" i="1"/>
  <c r="A37" i="1"/>
  <c r="E3" i="1"/>
  <c r="A13" i="1"/>
  <c r="Q3" i="1"/>
  <c r="H3" i="1"/>
  <c r="G3" i="1"/>
  <c r="Q40" i="1"/>
  <c r="Q35" i="1"/>
  <c r="E40" i="1"/>
  <c r="F48" i="1"/>
  <c r="H49" i="1" s="1"/>
  <c r="P30" i="1"/>
  <c r="F30" i="1"/>
  <c r="M37" i="1"/>
  <c r="K38" i="1"/>
  <c r="O40" i="1"/>
  <c r="C37" i="1"/>
  <c r="E35" i="1"/>
  <c r="G40" i="1"/>
  <c r="P39" i="8" l="1"/>
  <c r="L32" i="1"/>
  <c r="B48" i="1"/>
  <c r="B32" i="1"/>
  <c r="B31" i="1"/>
  <c r="B15" i="1"/>
  <c r="B18" i="1"/>
  <c r="B12" i="8" l="1"/>
  <c r="P42" i="8"/>
  <c r="B13" i="8" s="1"/>
  <c r="H31" i="1"/>
  <c r="R31" i="1"/>
  <c r="F45" i="1"/>
  <c r="F53" i="1" s="1"/>
  <c r="B20" i="8" l="1"/>
  <c r="H11" i="8" s="1"/>
  <c r="H14" i="8" s="1"/>
  <c r="F14" i="8"/>
  <c r="R37" i="1"/>
  <c r="R34" i="1"/>
  <c r="H37" i="1"/>
  <c r="H34" i="1"/>
  <c r="O35" i="1"/>
  <c r="G35" i="1"/>
  <c r="F8" i="8" l="1"/>
  <c r="F13" i="8" s="1"/>
  <c r="H17" i="8"/>
  <c r="F12" i="8"/>
  <c r="F52" i="1"/>
  <c r="P31" i="1"/>
  <c r="F16" i="8" l="1"/>
  <c r="F20" i="8"/>
  <c r="F3" i="8" s="1"/>
  <c r="N3" i="8" s="1"/>
  <c r="O3" i="8" s="1"/>
  <c r="F19" i="8"/>
  <c r="F2" i="8" s="1"/>
  <c r="N2" i="8" s="1"/>
  <c r="O2" i="8" s="1"/>
  <c r="F50" i="1"/>
  <c r="H52" i="1"/>
  <c r="F49" i="1" s="1"/>
  <c r="P34" i="1"/>
  <c r="H55" i="1"/>
  <c r="P33" i="1"/>
  <c r="F51" i="1"/>
  <c r="P27" i="1"/>
  <c r="F23" i="8" l="1"/>
  <c r="H23" i="8" s="1"/>
  <c r="F22" i="8"/>
  <c r="H22" i="8" s="1"/>
  <c r="P35" i="1"/>
  <c r="P32" i="1"/>
  <c r="P36" i="1" s="1"/>
  <c r="F54" i="1"/>
  <c r="F55" i="1" s="1"/>
  <c r="F56" i="1" s="1"/>
  <c r="P39" i="1" l="1"/>
  <c r="F31" i="1" l="1"/>
  <c r="F33" i="1"/>
  <c r="P42" i="1"/>
  <c r="F34" i="1"/>
  <c r="F27" i="1"/>
  <c r="F32" i="1" l="1"/>
  <c r="F36" i="1" s="1"/>
  <c r="F39" i="1" l="1"/>
  <c r="B12" i="1" s="1"/>
  <c r="F14" i="1" s="1"/>
  <c r="F42" i="1" l="1"/>
  <c r="B13" i="1" s="1"/>
  <c r="B20" i="1"/>
  <c r="F8" i="1" s="1"/>
  <c r="F16" i="1" l="1"/>
  <c r="H11" i="1"/>
  <c r="H14" i="1" s="1"/>
  <c r="F12" i="1" s="1"/>
  <c r="F20" i="1"/>
  <c r="F23" i="1" s="1"/>
  <c r="H23" i="1" s="1"/>
  <c r="F3" i="1" l="1"/>
  <c r="H17" i="1"/>
  <c r="F13" i="1"/>
  <c r="F19" i="1" s="1"/>
  <c r="F22" i="1" s="1"/>
  <c r="H22" i="1" s="1"/>
  <c r="N3" i="1" l="1"/>
  <c r="O3" i="1" s="1"/>
  <c r="F2" i="1"/>
  <c r="N2" i="1" s="1"/>
  <c r="O2" i="1" s="1"/>
</calcChain>
</file>

<file path=xl/comments1.xml><?xml version="1.0" encoding="utf-8"?>
<comments xmlns="http://schemas.openxmlformats.org/spreadsheetml/2006/main">
  <authors>
    <author>Matt Majeika</author>
  </authors>
  <commentList>
    <comment ref="L1" authorId="0" shapeId="0">
      <text>
        <r>
          <rPr>
            <sz val="9"/>
            <color indexed="81"/>
            <rFont val="Tahoma"/>
            <family val="2"/>
          </rPr>
          <t>Thermal resistance of the package</t>
        </r>
      </text>
    </comment>
    <comment ref="N1" authorId="0" shapeId="0">
      <text>
        <r>
          <rPr>
            <sz val="9"/>
            <color indexed="81"/>
            <rFont val="Tahoma"/>
            <family val="2"/>
          </rPr>
          <t>Temperature rise in the die due to the power dissipation losses</t>
        </r>
      </text>
    </comment>
    <comment ref="O1" authorId="0" shapeId="0">
      <text>
        <r>
          <rPr>
            <sz val="9"/>
            <color indexed="81"/>
            <rFont val="Tahoma"/>
            <family val="2"/>
          </rPr>
          <t>Maximum ambient temperature based on minimum TSD specification of 150</t>
        </r>
        <r>
          <rPr>
            <sz val="9"/>
            <color indexed="81"/>
            <rFont val="Calibri"/>
            <family val="2"/>
          </rPr>
          <t>°</t>
        </r>
        <r>
          <rPr>
            <sz val="9"/>
            <color indexed="81"/>
            <rFont val="Tahoma"/>
            <family val="2"/>
          </rPr>
          <t>C</t>
        </r>
      </text>
    </comment>
    <comment ref="G2" authorId="0" shapeId="0">
      <text>
        <r>
          <rPr>
            <b/>
            <sz val="9"/>
            <color indexed="81"/>
            <rFont val="Tahoma"/>
            <family val="2"/>
          </rPr>
          <t>Matt Majeika:</t>
        </r>
        <r>
          <rPr>
            <sz val="9"/>
            <color indexed="81"/>
            <rFont val="Tahoma"/>
            <family val="2"/>
          </rPr>
          <t xml:space="preserve">
Total power dissipation in the IC</t>
        </r>
      </text>
    </comment>
    <comment ref="G10" authorId="0" shapeId="0">
      <text>
        <r>
          <rPr>
            <b/>
            <sz val="9"/>
            <color indexed="81"/>
            <rFont val="Tahoma"/>
            <family val="2"/>
          </rPr>
          <t>Matt Majeika:</t>
        </r>
        <r>
          <rPr>
            <sz val="9"/>
            <color indexed="81"/>
            <rFont val="Tahoma"/>
            <family val="2"/>
          </rPr>
          <t xml:space="preserve">
DCR of the output inductor</t>
        </r>
      </text>
    </comment>
    <comment ref="G19" authorId="0" shapeId="0">
      <text>
        <r>
          <rPr>
            <sz val="9"/>
            <color indexed="81"/>
            <rFont val="Tahoma"/>
            <family val="2"/>
          </rPr>
          <t>Thermally, Total Ploss for SW1 is the sum of SMPS losses, Vdrive1 losses, and Iq losses</t>
        </r>
      </text>
    </comment>
    <comment ref="G29" authorId="0" shapeId="0">
      <text>
        <r>
          <rPr>
            <sz val="9"/>
            <color indexed="81"/>
            <rFont val="Tahoma"/>
            <family val="2"/>
          </rPr>
          <t>DCR of the output inductor</t>
        </r>
      </text>
    </comment>
    <comment ref="Q29" authorId="0" shapeId="0">
      <text>
        <r>
          <rPr>
            <sz val="9"/>
            <color indexed="81"/>
            <rFont val="Tahoma"/>
            <family val="2"/>
          </rPr>
          <t>DCR of the output inductor</t>
        </r>
      </text>
    </comment>
    <comment ref="G36" authorId="0" shapeId="0">
      <text>
        <r>
          <rPr>
            <sz val="9"/>
            <color indexed="81"/>
            <rFont val="Tahoma"/>
            <family val="2"/>
          </rPr>
          <t>SMPS losses include conduction losses and switching losses</t>
        </r>
      </text>
    </comment>
    <comment ref="Q36" authorId="0" shapeId="0">
      <text>
        <r>
          <rPr>
            <sz val="9"/>
            <color indexed="81"/>
            <rFont val="Tahoma"/>
            <family val="2"/>
          </rPr>
          <t>SMPS losses, including conduction losses, switching losses, and Iq losses</t>
        </r>
      </text>
    </comment>
    <comment ref="G47" authorId="0" shapeId="0">
      <text>
        <r>
          <rPr>
            <b/>
            <sz val="9"/>
            <color indexed="81"/>
            <rFont val="Tahoma"/>
            <family val="2"/>
          </rPr>
          <t>Matt Majeika:</t>
        </r>
        <r>
          <rPr>
            <sz val="9"/>
            <color indexed="81"/>
            <rFont val="Tahoma"/>
            <family val="2"/>
          </rPr>
          <t xml:space="preserve">
DCR of the output inductor</t>
        </r>
      </text>
    </comment>
    <comment ref="G54" authorId="0" shapeId="0">
      <text>
        <r>
          <rPr>
            <sz val="9"/>
            <color indexed="81"/>
            <rFont val="Tahoma"/>
            <family val="2"/>
          </rPr>
          <t>SMPS losses, including conduction losses, switching losses, and Iq losses</t>
        </r>
      </text>
    </comment>
  </commentList>
</comments>
</file>

<file path=xl/comments2.xml><?xml version="1.0" encoding="utf-8"?>
<comments xmlns="http://schemas.openxmlformats.org/spreadsheetml/2006/main">
  <authors>
    <author>Matt Majeika</author>
  </authors>
  <commentList>
    <comment ref="L1" authorId="0" shapeId="0">
      <text>
        <r>
          <rPr>
            <sz val="9"/>
            <color indexed="81"/>
            <rFont val="Tahoma"/>
            <family val="2"/>
          </rPr>
          <t>Thermal resistance of the package</t>
        </r>
      </text>
    </comment>
    <comment ref="N1" authorId="0" shapeId="0">
      <text>
        <r>
          <rPr>
            <sz val="9"/>
            <color indexed="81"/>
            <rFont val="Tahoma"/>
            <family val="2"/>
          </rPr>
          <t>Temperature rise in the die due to the power dissipation losses</t>
        </r>
      </text>
    </comment>
    <comment ref="O1" authorId="0" shapeId="0">
      <text>
        <r>
          <rPr>
            <sz val="9"/>
            <color indexed="81"/>
            <rFont val="Tahoma"/>
            <family val="2"/>
          </rPr>
          <t>Maximum ambient temperature based on minimum TSD specification of 150</t>
        </r>
        <r>
          <rPr>
            <sz val="9"/>
            <color indexed="81"/>
            <rFont val="Calibri"/>
            <family val="2"/>
          </rPr>
          <t>°</t>
        </r>
        <r>
          <rPr>
            <sz val="9"/>
            <color indexed="81"/>
            <rFont val="Tahoma"/>
            <family val="2"/>
          </rPr>
          <t>C</t>
        </r>
      </text>
    </comment>
    <comment ref="G2" authorId="0" shapeId="0">
      <text>
        <r>
          <rPr>
            <b/>
            <sz val="9"/>
            <color indexed="81"/>
            <rFont val="Tahoma"/>
            <family val="2"/>
          </rPr>
          <t>Matt Majeika:</t>
        </r>
        <r>
          <rPr>
            <sz val="9"/>
            <color indexed="81"/>
            <rFont val="Tahoma"/>
            <family val="2"/>
          </rPr>
          <t xml:space="preserve">
Total power dissipation in the IC</t>
        </r>
      </text>
    </comment>
    <comment ref="G10" authorId="0" shapeId="0">
      <text>
        <r>
          <rPr>
            <b/>
            <sz val="9"/>
            <color indexed="81"/>
            <rFont val="Tahoma"/>
            <family val="2"/>
          </rPr>
          <t>Matt Majeika:</t>
        </r>
        <r>
          <rPr>
            <sz val="9"/>
            <color indexed="81"/>
            <rFont val="Tahoma"/>
            <family val="2"/>
          </rPr>
          <t xml:space="preserve">
DCR of the output inductor</t>
        </r>
      </text>
    </comment>
    <comment ref="G19" authorId="0" shapeId="0">
      <text>
        <r>
          <rPr>
            <sz val="9"/>
            <color indexed="81"/>
            <rFont val="Tahoma"/>
            <family val="2"/>
          </rPr>
          <t>Thermally, Total Ploss for SW1 is the sum of SMPS losses, Vdrive1 losses, and Iq losses</t>
        </r>
      </text>
    </comment>
    <comment ref="G29" authorId="0" shapeId="0">
      <text>
        <r>
          <rPr>
            <sz val="9"/>
            <color indexed="81"/>
            <rFont val="Tahoma"/>
            <family val="2"/>
          </rPr>
          <t>DCR of the output inductor</t>
        </r>
      </text>
    </comment>
    <comment ref="Q29" authorId="0" shapeId="0">
      <text>
        <r>
          <rPr>
            <sz val="9"/>
            <color indexed="81"/>
            <rFont val="Tahoma"/>
            <family val="2"/>
          </rPr>
          <t>DCR of the output inductor</t>
        </r>
      </text>
    </comment>
    <comment ref="G36" authorId="0" shapeId="0">
      <text>
        <r>
          <rPr>
            <sz val="9"/>
            <color indexed="81"/>
            <rFont val="Tahoma"/>
            <family val="2"/>
          </rPr>
          <t>SMPS losses include conduction losses and switching losses</t>
        </r>
      </text>
    </comment>
    <comment ref="Q36" authorId="0" shapeId="0">
      <text>
        <r>
          <rPr>
            <sz val="9"/>
            <color indexed="81"/>
            <rFont val="Tahoma"/>
            <family val="2"/>
          </rPr>
          <t>SMPS losses, including conduction losses, switching losses, and Iq losses</t>
        </r>
      </text>
    </comment>
    <comment ref="G47" authorId="0" shapeId="0">
      <text>
        <r>
          <rPr>
            <b/>
            <sz val="9"/>
            <color indexed="81"/>
            <rFont val="Tahoma"/>
            <family val="2"/>
          </rPr>
          <t>Matt Majeika:</t>
        </r>
        <r>
          <rPr>
            <sz val="9"/>
            <color indexed="81"/>
            <rFont val="Tahoma"/>
            <family val="2"/>
          </rPr>
          <t xml:space="preserve">
DCR of the output inductor</t>
        </r>
      </text>
    </comment>
    <comment ref="G54" authorId="0" shapeId="0">
      <text>
        <r>
          <rPr>
            <sz val="9"/>
            <color indexed="81"/>
            <rFont val="Tahoma"/>
            <family val="2"/>
          </rPr>
          <t>SMPS losses, including conduction losses, switching losses, and Iq losses</t>
        </r>
      </text>
    </comment>
  </commentList>
</comments>
</file>

<file path=xl/sharedStrings.xml><?xml version="1.0" encoding="utf-8"?>
<sst xmlns="http://schemas.openxmlformats.org/spreadsheetml/2006/main" count="380" uniqueCount="69">
  <si>
    <t>VBAT</t>
  </si>
  <si>
    <t>V</t>
  </si>
  <si>
    <t>W</t>
  </si>
  <si>
    <t>A</t>
  </si>
  <si>
    <t>D</t>
  </si>
  <si>
    <t>RdsonHS</t>
  </si>
  <si>
    <t>RdsonLS</t>
  </si>
  <si>
    <t>ton</t>
  </si>
  <si>
    <t>toff</t>
  </si>
  <si>
    <t>fsw</t>
  </si>
  <si>
    <t>Iq</t>
  </si>
  <si>
    <t>Vdiode</t>
  </si>
  <si>
    <t>Ω</t>
  </si>
  <si>
    <t>Idrive</t>
  </si>
  <si>
    <t>Psw</t>
  </si>
  <si>
    <t>Pcon</t>
  </si>
  <si>
    <t>Piq</t>
  </si>
  <si>
    <t>Pdiode</t>
  </si>
  <si>
    <t>VIN2</t>
  </si>
  <si>
    <t>VOUT2</t>
  </si>
  <si>
    <t>DCR</t>
  </si>
  <si>
    <t>VOUT3</t>
  </si>
  <si>
    <t>RdsonSW</t>
  </si>
  <si>
    <t>°C/W</t>
  </si>
  <si>
    <t>QFN 5x5 mm</t>
  </si>
  <si>
    <t>Package</t>
  </si>
  <si>
    <r>
      <t>R</t>
    </r>
    <r>
      <rPr>
        <u/>
        <sz val="11"/>
        <color theme="1"/>
        <rFont val="Calibri"/>
        <family val="2"/>
      </rPr>
      <t>θJA</t>
    </r>
  </si>
  <si>
    <t>Power Loss for Switcher 1 [Battery-Connected Non-Synchronous Buck]</t>
  </si>
  <si>
    <t>Power Loss for Switcher 2 [Downstream Synchronous Buck]</t>
  </si>
  <si>
    <t>Power Loss for Switcher 3 [Downstream Synchronous Buck]</t>
  </si>
  <si>
    <t>Power Loss for Switcher 4 [Downstream Non-Synchronous Boost]</t>
  </si>
  <si>
    <r>
      <t>Max T (</t>
    </r>
    <r>
      <rPr>
        <b/>
        <u/>
        <sz val="11"/>
        <color theme="1"/>
        <rFont val="Calibri"/>
        <family val="2"/>
      </rPr>
      <t xml:space="preserve">°C </t>
    </r>
    <r>
      <rPr>
        <b/>
        <u/>
        <sz val="11"/>
        <color theme="1"/>
        <rFont val="Calibri"/>
        <family val="2"/>
        <scheme val="minor"/>
      </rPr>
      <t>ambient)</t>
    </r>
  </si>
  <si>
    <r>
      <t>T (</t>
    </r>
    <r>
      <rPr>
        <b/>
        <u/>
        <sz val="11"/>
        <color theme="1"/>
        <rFont val="Calibri"/>
        <family val="2"/>
      </rPr>
      <t xml:space="preserve">°C </t>
    </r>
    <r>
      <rPr>
        <b/>
        <u/>
        <sz val="11"/>
        <color theme="1"/>
        <rFont val="Calibri"/>
        <family val="2"/>
        <scheme val="minor"/>
      </rPr>
      <t>rise)</t>
    </r>
  </si>
  <si>
    <t>kHz</t>
  </si>
  <si>
    <t>ns</t>
  </si>
  <si>
    <t>Pind</t>
  </si>
  <si>
    <t>Idrive2,3,4</t>
  </si>
  <si>
    <t>Inductor</t>
  </si>
  <si>
    <t>uH</t>
  </si>
  <si>
    <t>I Inductor Peak (A)</t>
  </si>
  <si>
    <t>I Inductor RMS (A)</t>
  </si>
  <si>
    <t>IOUT4 (Vout4)</t>
  </si>
  <si>
    <t>IOUT2 (Vout2)</t>
  </si>
  <si>
    <t>IOUT3 (Vout3)</t>
  </si>
  <si>
    <t>Pdiss - SMPS</t>
  </si>
  <si>
    <t>Pdiss - Vdrive1</t>
  </si>
  <si>
    <t>VIN3</t>
  </si>
  <si>
    <t xml:space="preserve">Total Internal Dissipation: </t>
  </si>
  <si>
    <t>Internal SW2 dissipation</t>
  </si>
  <si>
    <t>Internal SW3 dissipation</t>
  </si>
  <si>
    <t>Internal SW1 dissipation</t>
  </si>
  <si>
    <t>No SW2 or SW3 diodes</t>
  </si>
  <si>
    <t>Total VOUT1 Load</t>
  </si>
  <si>
    <t>VOUT1 Direct Load</t>
  </si>
  <si>
    <t>No SW2,SW3 diodes</t>
  </si>
  <si>
    <t>NRVB440MFS recommended</t>
  </si>
  <si>
    <t>Total Input Power</t>
  </si>
  <si>
    <t>Efficiency</t>
  </si>
  <si>
    <t>No External Diode</t>
  </si>
  <si>
    <t xml:space="preserve">      Add external diode SW2 to GND</t>
  </si>
  <si>
    <t xml:space="preserve">      Add external diode SW3 to GND</t>
  </si>
  <si>
    <t>without SW2 or SW3 diodes</t>
  </si>
  <si>
    <t>ON Semiconductor Confidential Information</t>
  </si>
  <si>
    <t>NCV97400 Thermal Capability Tool</t>
  </si>
  <si>
    <t>Internal SW4 dissipation</t>
  </si>
  <si>
    <t>I Inductor p-p (A)</t>
  </si>
  <si>
    <t>Total SW4 Input Power</t>
  </si>
  <si>
    <t>Worst Case</t>
  </si>
  <si>
    <t>Typical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</si>
</sst>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%"/>
    <numFmt numFmtId="166" formatCode="0.000"/>
    <numFmt numFmtId="167" formatCode="0.0000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"/>
      <name val="Calibri"/>
      <family val="2"/>
      <scheme val="minor"/>
    </font>
    <font>
      <u/>
      <sz val="11"/>
      <color theme="1"/>
      <name val="Calibri"/>
      <family val="2"/>
    </font>
    <font>
      <b/>
      <u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Calibri"/>
      <family val="2"/>
    </font>
    <font>
      <b/>
      <u/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11"/>
      <color theme="1" tint="0.34998626667073579"/>
      <name val="Calibri"/>
      <family val="2"/>
    </font>
    <font>
      <b/>
      <sz val="11"/>
      <color theme="1" tint="0.34998626667073579"/>
      <name val="Calibri"/>
      <family val="2"/>
      <scheme val="minor"/>
    </font>
    <font>
      <sz val="11"/>
      <color theme="6" tint="0.39997558519241921"/>
      <name val="Calibri"/>
      <family val="2"/>
      <scheme val="minor"/>
    </font>
    <font>
      <sz val="11"/>
      <color theme="3" tint="0.59999389629810485"/>
      <name val="Calibri"/>
      <family val="2"/>
      <scheme val="minor"/>
    </font>
    <font>
      <sz val="11"/>
      <color theme="4" tint="0.39997558519241921"/>
      <name val="Calibri"/>
      <family val="2"/>
      <scheme val="minor"/>
    </font>
    <font>
      <sz val="11"/>
      <color theme="4" tint="0.39997558519241921"/>
      <name val="Calibri"/>
      <family val="2"/>
    </font>
    <font>
      <sz val="11"/>
      <color theme="6" tint="0.39997558519241921"/>
      <name val="Calibri"/>
      <family val="2"/>
    </font>
    <font>
      <sz val="11"/>
      <color theme="7" tint="0.39997558519241921"/>
      <name val="Calibri"/>
      <family val="2"/>
      <scheme val="minor"/>
    </font>
    <font>
      <sz val="11"/>
      <color theme="7" tint="0.39997558519241921"/>
      <name val="Calibri"/>
      <family val="2"/>
    </font>
    <font>
      <sz val="11"/>
      <color theme="5" tint="0.39997558519241921"/>
      <name val="Calibri"/>
      <family val="2"/>
      <scheme val="minor"/>
    </font>
    <font>
      <sz val="11"/>
      <color theme="5" tint="0.39997558519241921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0" tint="-0.3499862666707357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4" fillId="0" borderId="0" applyFont="0" applyFill="0" applyBorder="0" applyAlignment="0" applyProtection="0"/>
  </cellStyleXfs>
  <cellXfs count="205">
    <xf numFmtId="0" fontId="0" fillId="0" borderId="0" xfId="0"/>
    <xf numFmtId="0" fontId="0" fillId="0" borderId="0" xfId="0" applyNumberFormat="1"/>
    <xf numFmtId="2" fontId="0" fillId="0" borderId="0" xfId="0" applyNumberFormat="1"/>
    <xf numFmtId="0" fontId="0" fillId="0" borderId="0" xfId="0" applyAlignment="1">
      <alignment horizontal="right"/>
    </xf>
    <xf numFmtId="0" fontId="0" fillId="7" borderId="0" xfId="0" applyFill="1" applyBorder="1"/>
    <xf numFmtId="0" fontId="2" fillId="7" borderId="0" xfId="0" applyFont="1" applyFill="1" applyBorder="1"/>
    <xf numFmtId="2" fontId="0" fillId="6" borderId="3" xfId="0" applyNumberFormat="1" applyFill="1" applyBorder="1"/>
    <xf numFmtId="0" fontId="0" fillId="6" borderId="5" xfId="0" applyFill="1" applyBorder="1"/>
    <xf numFmtId="0" fontId="11" fillId="0" borderId="0" xfId="0" applyFont="1" applyAlignment="1">
      <alignment horizontal="right"/>
    </xf>
    <xf numFmtId="2" fontId="11" fillId="6" borderId="6" xfId="0" applyNumberFormat="1" applyFont="1" applyFill="1" applyBorder="1"/>
    <xf numFmtId="0" fontId="11" fillId="6" borderId="8" xfId="0" applyFont="1" applyFill="1" applyBorder="1"/>
    <xf numFmtId="0" fontId="11" fillId="7" borderId="6" xfId="0" applyFont="1" applyFill="1" applyBorder="1" applyAlignment="1">
      <alignment horizontal="center"/>
    </xf>
    <xf numFmtId="0" fontId="11" fillId="7" borderId="7" xfId="0" applyFont="1" applyFill="1" applyBorder="1"/>
    <xf numFmtId="0" fontId="12" fillId="7" borderId="7" xfId="0" applyFont="1" applyFill="1" applyBorder="1"/>
    <xf numFmtId="0" fontId="0" fillId="0" borderId="9" xfId="0" applyBorder="1" applyAlignment="1"/>
    <xf numFmtId="0" fontId="0" fillId="0" borderId="0" xfId="0" applyAlignment="1"/>
    <xf numFmtId="0" fontId="0" fillId="0" borderId="0" xfId="0" applyAlignment="1">
      <alignment horizontal="center"/>
    </xf>
    <xf numFmtId="164" fontId="13" fillId="7" borderId="7" xfId="0" applyNumberFormat="1" applyFont="1" applyFill="1" applyBorder="1" applyAlignment="1">
      <alignment horizontal="center"/>
    </xf>
    <xf numFmtId="0" fontId="5" fillId="7" borderId="4" xfId="0" applyFont="1" applyFill="1" applyBorder="1" applyAlignment="1">
      <alignment horizontal="center"/>
    </xf>
    <xf numFmtId="164" fontId="1" fillId="7" borderId="0" xfId="0" applyNumberFormat="1" applyFont="1" applyFill="1" applyBorder="1" applyAlignment="1">
      <alignment horizontal="center"/>
    </xf>
    <xf numFmtId="166" fontId="0" fillId="0" borderId="0" xfId="0" applyNumberFormat="1"/>
    <xf numFmtId="0" fontId="0" fillId="8" borderId="0" xfId="0" applyFill="1"/>
    <xf numFmtId="2" fontId="0" fillId="8" borderId="0" xfId="0" applyNumberFormat="1" applyFill="1"/>
    <xf numFmtId="0" fontId="0" fillId="9" borderId="0" xfId="0" applyFill="1"/>
    <xf numFmtId="2" fontId="0" fillId="10" borderId="0" xfId="0" applyNumberFormat="1" applyFill="1"/>
    <xf numFmtId="0" fontId="0" fillId="10" borderId="0" xfId="0" applyFill="1"/>
    <xf numFmtId="0" fontId="0" fillId="10" borderId="0" xfId="0" applyNumberFormat="1" applyFill="1"/>
    <xf numFmtId="0" fontId="11" fillId="0" borderId="0" xfId="0" applyFont="1" applyBorder="1" applyAlignment="1">
      <alignment horizontal="left"/>
    </xf>
    <xf numFmtId="0" fontId="1" fillId="3" borderId="0" xfId="0" applyFont="1" applyFill="1" applyAlignment="1" applyProtection="1"/>
    <xf numFmtId="0" fontId="0" fillId="10" borderId="0" xfId="0" applyNumberFormat="1" applyFill="1" applyProtection="1"/>
    <xf numFmtId="0" fontId="0" fillId="10" borderId="0" xfId="0" applyFill="1" applyProtection="1"/>
    <xf numFmtId="2" fontId="0" fillId="10" borderId="0" xfId="0" applyNumberFormat="1" applyFill="1" applyProtection="1"/>
    <xf numFmtId="0" fontId="0" fillId="0" borderId="0" xfId="0" applyProtection="1">
      <protection locked="0"/>
    </xf>
    <xf numFmtId="0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166" fontId="0" fillId="0" borderId="0" xfId="0" applyNumberFormat="1" applyProtection="1">
      <protection locked="0"/>
    </xf>
    <xf numFmtId="0" fontId="0" fillId="2" borderId="0" xfId="0" applyFill="1" applyProtection="1"/>
    <xf numFmtId="0" fontId="0" fillId="8" borderId="0" xfId="0" applyFill="1" applyProtection="1"/>
    <xf numFmtId="0" fontId="0" fillId="4" borderId="0" xfId="0" applyFill="1" applyProtection="1"/>
    <xf numFmtId="0" fontId="0" fillId="9" borderId="0" xfId="0" applyFill="1" applyProtection="1"/>
    <xf numFmtId="0" fontId="0" fillId="0" borderId="0" xfId="0" applyAlignment="1" applyProtection="1">
      <alignment horizontal="center"/>
      <protection locked="0"/>
    </xf>
    <xf numFmtId="0" fontId="0" fillId="5" borderId="0" xfId="0" applyFill="1" applyProtection="1"/>
    <xf numFmtId="0" fontId="0" fillId="10" borderId="0" xfId="0" applyFill="1" applyAlignment="1" applyProtection="1">
      <alignment horizontal="right"/>
    </xf>
    <xf numFmtId="0" fontId="0" fillId="8" borderId="0" xfId="0" applyFill="1" applyAlignment="1" applyProtection="1">
      <alignment horizontal="right"/>
    </xf>
    <xf numFmtId="0" fontId="0" fillId="9" borderId="0" xfId="0" applyFill="1" applyAlignment="1" applyProtection="1">
      <alignment horizontal="right"/>
    </xf>
    <xf numFmtId="0" fontId="0" fillId="10" borderId="16" xfId="0" applyFill="1" applyBorder="1" applyAlignment="1" applyProtection="1">
      <alignment horizontal="right"/>
    </xf>
    <xf numFmtId="2" fontId="0" fillId="10" borderId="17" xfId="0" applyNumberFormat="1" applyFill="1" applyBorder="1" applyProtection="1"/>
    <xf numFmtId="0" fontId="0" fillId="10" borderId="18" xfId="0" applyFill="1" applyBorder="1" applyProtection="1"/>
    <xf numFmtId="2" fontId="0" fillId="10" borderId="0" xfId="0" applyNumberFormat="1" applyFill="1" applyBorder="1" applyProtection="1"/>
    <xf numFmtId="0" fontId="0" fillId="10" borderId="15" xfId="0" applyFill="1" applyBorder="1" applyProtection="1"/>
    <xf numFmtId="0" fontId="3" fillId="7" borderId="3" xfId="0" applyFont="1" applyFill="1" applyBorder="1" applyAlignment="1">
      <alignment horizontal="right"/>
    </xf>
    <xf numFmtId="0" fontId="0" fillId="7" borderId="9" xfId="0" applyFill="1" applyBorder="1" applyAlignment="1">
      <alignment horizontal="right"/>
    </xf>
    <xf numFmtId="0" fontId="0" fillId="0" borderId="0" xfId="0" applyFill="1" applyAlignment="1" applyProtection="1">
      <alignment horizontal="right"/>
    </xf>
    <xf numFmtId="0" fontId="0" fillId="0" borderId="0" xfId="0" applyFill="1" applyProtection="1"/>
    <xf numFmtId="0" fontId="0" fillId="0" borderId="0" xfId="0" applyNumberFormat="1" applyFill="1" applyProtection="1"/>
    <xf numFmtId="167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166" fontId="0" fillId="9" borderId="0" xfId="0" applyNumberFormat="1" applyFill="1" applyProtection="1"/>
    <xf numFmtId="166" fontId="0" fillId="8" borderId="0" xfId="0" applyNumberFormat="1" applyFill="1" applyProtection="1"/>
    <xf numFmtId="164" fontId="0" fillId="0" borderId="0" xfId="0" applyNumberFormat="1" applyProtection="1">
      <protection locked="0"/>
    </xf>
    <xf numFmtId="164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horizontal="right"/>
      <protection locked="0"/>
    </xf>
    <xf numFmtId="164" fontId="0" fillId="0" borderId="0" xfId="0" applyNumberFormat="1"/>
    <xf numFmtId="0" fontId="0" fillId="10" borderId="2" xfId="0" applyFill="1" applyBorder="1" applyProtection="1"/>
    <xf numFmtId="166" fontId="0" fillId="10" borderId="0" xfId="0" applyNumberFormat="1" applyFill="1" applyProtection="1"/>
    <xf numFmtId="0" fontId="23" fillId="10" borderId="0" xfId="0" applyFont="1" applyFill="1" applyAlignment="1" applyProtection="1">
      <alignment horizontal="right"/>
    </xf>
    <xf numFmtId="0" fontId="23" fillId="10" borderId="5" xfId="0" applyFont="1" applyFill="1" applyBorder="1" applyProtection="1"/>
    <xf numFmtId="166" fontId="0" fillId="10" borderId="1" xfId="0" applyNumberFormat="1" applyFill="1" applyBorder="1" applyProtection="1">
      <protection locked="0"/>
    </xf>
    <xf numFmtId="0" fontId="2" fillId="10" borderId="2" xfId="0" applyFont="1" applyFill="1" applyBorder="1" applyProtection="1"/>
    <xf numFmtId="0" fontId="0" fillId="10" borderId="14" xfId="0" applyFill="1" applyBorder="1" applyAlignment="1" applyProtection="1">
      <alignment horizontal="right"/>
    </xf>
    <xf numFmtId="0" fontId="21" fillId="10" borderId="0" xfId="0" applyFont="1" applyFill="1" applyAlignment="1" applyProtection="1">
      <alignment horizontal="right"/>
    </xf>
    <xf numFmtId="2" fontId="21" fillId="10" borderId="0" xfId="0" applyNumberFormat="1" applyFont="1" applyFill="1" applyProtection="1"/>
    <xf numFmtId="0" fontId="21" fillId="10" borderId="0" xfId="0" applyFont="1" applyFill="1" applyProtection="1"/>
    <xf numFmtId="166" fontId="21" fillId="10" borderId="0" xfId="0" applyNumberFormat="1" applyFont="1" applyFill="1" applyProtection="1"/>
    <xf numFmtId="0" fontId="22" fillId="10" borderId="0" xfId="0" applyFont="1" applyFill="1" applyProtection="1"/>
    <xf numFmtId="0" fontId="21" fillId="10" borderId="0" xfId="0" applyNumberFormat="1" applyFont="1" applyFill="1" applyProtection="1"/>
    <xf numFmtId="0" fontId="0" fillId="10" borderId="0" xfId="0" applyNumberFormat="1" applyFill="1" applyBorder="1" applyProtection="1"/>
    <xf numFmtId="0" fontId="0" fillId="10" borderId="0" xfId="0" applyFill="1" applyBorder="1" applyProtection="1"/>
    <xf numFmtId="2" fontId="1" fillId="10" borderId="0" xfId="0" applyNumberFormat="1" applyFont="1" applyFill="1" applyBorder="1" applyProtection="1"/>
    <xf numFmtId="0" fontId="1" fillId="10" borderId="15" xfId="0" applyFont="1" applyFill="1" applyBorder="1" applyProtection="1"/>
    <xf numFmtId="0" fontId="16" fillId="8" borderId="0" xfId="0" applyFont="1" applyFill="1" applyBorder="1" applyProtection="1"/>
    <xf numFmtId="0" fontId="16" fillId="8" borderId="0" xfId="0" applyNumberFormat="1" applyFont="1" applyFill="1" applyBorder="1" applyProtection="1"/>
    <xf numFmtId="0" fontId="0" fillId="8" borderId="0" xfId="0" applyFill="1" applyBorder="1" applyProtection="1"/>
    <xf numFmtId="2" fontId="0" fillId="8" borderId="1" xfId="0" applyNumberFormat="1" applyFill="1" applyBorder="1" applyProtection="1">
      <protection locked="0"/>
    </xf>
    <xf numFmtId="0" fontId="0" fillId="8" borderId="2" xfId="0" applyFill="1" applyBorder="1" applyProtection="1"/>
    <xf numFmtId="0" fontId="2" fillId="8" borderId="2" xfId="0" applyFont="1" applyFill="1" applyBorder="1" applyProtection="1"/>
    <xf numFmtId="166" fontId="0" fillId="8" borderId="1" xfId="0" applyNumberFormat="1" applyFill="1" applyBorder="1" applyProtection="1">
      <protection locked="0"/>
    </xf>
    <xf numFmtId="0" fontId="16" fillId="8" borderId="0" xfId="0" applyFont="1" applyFill="1" applyAlignment="1" applyProtection="1">
      <alignment horizontal="right"/>
    </xf>
    <xf numFmtId="166" fontId="16" fillId="8" borderId="0" xfId="0" applyNumberFormat="1" applyFont="1" applyFill="1" applyProtection="1"/>
    <xf numFmtId="0" fontId="16" fillId="8" borderId="0" xfId="0" applyFont="1" applyFill="1" applyProtection="1"/>
    <xf numFmtId="0" fontId="0" fillId="8" borderId="0" xfId="0" applyNumberFormat="1" applyFill="1" applyProtection="1"/>
    <xf numFmtId="0" fontId="17" fillId="8" borderId="0" xfId="0" applyFont="1" applyFill="1" applyProtection="1"/>
    <xf numFmtId="0" fontId="16" fillId="8" borderId="0" xfId="0" applyNumberFormat="1" applyFont="1" applyFill="1" applyProtection="1"/>
    <xf numFmtId="0" fontId="11" fillId="8" borderId="0" xfId="0" applyFont="1" applyFill="1" applyAlignment="1" applyProtection="1">
      <alignment horizontal="left"/>
    </xf>
    <xf numFmtId="0" fontId="11" fillId="8" borderId="0" xfId="0" applyFont="1" applyFill="1" applyProtection="1"/>
    <xf numFmtId="0" fontId="15" fillId="8" borderId="0" xfId="0" applyNumberFormat="1" applyFont="1" applyFill="1" applyAlignment="1" applyProtection="1">
      <alignment horizontal="left"/>
      <protection locked="0"/>
    </xf>
    <xf numFmtId="0" fontId="0" fillId="8" borderId="14" xfId="0" applyFont="1" applyFill="1" applyBorder="1" applyAlignment="1" applyProtection="1">
      <alignment horizontal="right"/>
    </xf>
    <xf numFmtId="166" fontId="0" fillId="8" borderId="0" xfId="0" applyNumberFormat="1" applyFont="1" applyFill="1" applyBorder="1" applyProtection="1"/>
    <xf numFmtId="0" fontId="0" fillId="8" borderId="15" xfId="0" applyFont="1" applyFill="1" applyBorder="1" applyProtection="1"/>
    <xf numFmtId="0" fontId="11" fillId="8" borderId="16" xfId="0" applyFont="1" applyFill="1" applyBorder="1" applyAlignment="1" applyProtection="1">
      <alignment horizontal="right"/>
    </xf>
    <xf numFmtId="166" fontId="11" fillId="8" borderId="17" xfId="0" applyNumberFormat="1" applyFont="1" applyFill="1" applyBorder="1" applyProtection="1"/>
    <xf numFmtId="0" fontId="11" fillId="8" borderId="18" xfId="0" applyFont="1" applyFill="1" applyBorder="1" applyProtection="1"/>
    <xf numFmtId="0" fontId="16" fillId="11" borderId="0" xfId="0" applyFont="1" applyFill="1" applyBorder="1" applyAlignment="1" applyProtection="1">
      <alignment horizontal="right"/>
    </xf>
    <xf numFmtId="0" fontId="16" fillId="11" borderId="0" xfId="0" applyNumberFormat="1" applyFont="1" applyFill="1" applyBorder="1" applyProtection="1"/>
    <xf numFmtId="0" fontId="16" fillId="11" borderId="0" xfId="0" applyFont="1" applyFill="1" applyBorder="1" applyProtection="1"/>
    <xf numFmtId="0" fontId="0" fillId="11" borderId="0" xfId="0" applyFill="1" applyProtection="1"/>
    <xf numFmtId="0" fontId="0" fillId="11" borderId="0" xfId="0" applyFill="1" applyAlignment="1" applyProtection="1">
      <alignment horizontal="right"/>
    </xf>
    <xf numFmtId="166" fontId="0" fillId="11" borderId="0" xfId="0" applyNumberFormat="1" applyFill="1" applyProtection="1"/>
    <xf numFmtId="0" fontId="19" fillId="11" borderId="0" xfId="0" applyFont="1" applyFill="1" applyProtection="1"/>
    <xf numFmtId="166" fontId="0" fillId="11" borderId="1" xfId="0" applyNumberFormat="1" applyFill="1" applyBorder="1" applyProtection="1">
      <protection locked="0"/>
    </xf>
    <xf numFmtId="0" fontId="0" fillId="11" borderId="2" xfId="0" applyFill="1" applyBorder="1" applyProtection="1"/>
    <xf numFmtId="0" fontId="23" fillId="11" borderId="0" xfId="0" applyFont="1" applyFill="1" applyAlignment="1" applyProtection="1">
      <alignment horizontal="right"/>
    </xf>
    <xf numFmtId="0" fontId="23" fillId="11" borderId="2" xfId="0" applyFont="1" applyFill="1" applyBorder="1" applyProtection="1"/>
    <xf numFmtId="0" fontId="10" fillId="11" borderId="0" xfId="0" applyFont="1" applyFill="1" applyAlignment="1" applyProtection="1"/>
    <xf numFmtId="0" fontId="0" fillId="11" borderId="0" xfId="0" applyFill="1" applyBorder="1" applyAlignment="1" applyProtection="1">
      <alignment horizontal="right"/>
    </xf>
    <xf numFmtId="0" fontId="2" fillId="11" borderId="2" xfId="0" applyFont="1" applyFill="1" applyBorder="1" applyProtection="1"/>
    <xf numFmtId="0" fontId="19" fillId="11" borderId="0" xfId="0" applyFont="1" applyFill="1" applyAlignment="1" applyProtection="1">
      <alignment horizontal="right"/>
    </xf>
    <xf numFmtId="0" fontId="19" fillId="11" borderId="0" xfId="0" applyNumberFormat="1" applyFont="1" applyFill="1" applyProtection="1"/>
    <xf numFmtId="0" fontId="20" fillId="11" borderId="0" xfId="0" applyFont="1" applyFill="1" applyProtection="1"/>
    <xf numFmtId="0" fontId="16" fillId="11" borderId="0" xfId="0" applyFont="1" applyFill="1" applyAlignment="1" applyProtection="1">
      <alignment horizontal="right"/>
    </xf>
    <xf numFmtId="166" fontId="16" fillId="11" borderId="0" xfId="0" applyNumberFormat="1" applyFont="1" applyFill="1" applyProtection="1"/>
    <xf numFmtId="0" fontId="16" fillId="11" borderId="0" xfId="0" applyFont="1" applyFill="1" applyProtection="1"/>
    <xf numFmtId="0" fontId="0" fillId="11" borderId="0" xfId="0" applyNumberFormat="1" applyFill="1" applyProtection="1"/>
    <xf numFmtId="0" fontId="0" fillId="11" borderId="0" xfId="0" applyFill="1"/>
    <xf numFmtId="0" fontId="16" fillId="11" borderId="0" xfId="0" applyNumberFormat="1" applyFont="1" applyFill="1" applyProtection="1"/>
    <xf numFmtId="0" fontId="0" fillId="11" borderId="1" xfId="0" applyNumberFormat="1" applyFill="1" applyBorder="1" applyProtection="1">
      <protection locked="0"/>
    </xf>
    <xf numFmtId="0" fontId="0" fillId="11" borderId="0" xfId="0" applyNumberFormat="1" applyFill="1"/>
    <xf numFmtId="0" fontId="1" fillId="11" borderId="0" xfId="0" applyFont="1" applyFill="1" applyAlignment="1" applyProtection="1">
      <alignment horizontal="right"/>
    </xf>
    <xf numFmtId="166" fontId="1" fillId="11" borderId="0" xfId="0" applyNumberFormat="1" applyFont="1" applyFill="1" applyProtection="1"/>
    <xf numFmtId="0" fontId="1" fillId="11" borderId="0" xfId="0" applyFont="1" applyFill="1" applyProtection="1"/>
    <xf numFmtId="0" fontId="14" fillId="9" borderId="0" xfId="0" applyFont="1" applyFill="1" applyBorder="1" applyProtection="1"/>
    <xf numFmtId="0" fontId="14" fillId="9" borderId="0" xfId="0" applyNumberFormat="1" applyFont="1" applyFill="1" applyBorder="1" applyProtection="1"/>
    <xf numFmtId="0" fontId="0" fillId="9" borderId="0" xfId="0" applyFill="1" applyBorder="1" applyProtection="1"/>
    <xf numFmtId="2" fontId="0" fillId="9" borderId="1" xfId="0" applyNumberFormat="1" applyFill="1" applyBorder="1" applyProtection="1">
      <protection locked="0"/>
    </xf>
    <xf numFmtId="0" fontId="0" fillId="9" borderId="2" xfId="0" applyFill="1" applyBorder="1" applyProtection="1"/>
    <xf numFmtId="166" fontId="0" fillId="9" borderId="1" xfId="0" applyNumberFormat="1" applyFill="1" applyBorder="1" applyProtection="1">
      <protection locked="0"/>
    </xf>
    <xf numFmtId="0" fontId="2" fillId="9" borderId="2" xfId="0" applyFont="1" applyFill="1" applyBorder="1" applyProtection="1"/>
    <xf numFmtId="0" fontId="14" fillId="9" borderId="0" xfId="0" applyFont="1" applyFill="1" applyAlignment="1" applyProtection="1">
      <alignment horizontal="right"/>
    </xf>
    <xf numFmtId="0" fontId="14" fillId="9" borderId="0" xfId="0" applyNumberFormat="1" applyFont="1" applyFill="1" applyProtection="1"/>
    <xf numFmtId="0" fontId="14" fillId="9" borderId="0" xfId="0" applyFont="1" applyFill="1" applyProtection="1"/>
    <xf numFmtId="0" fontId="0" fillId="9" borderId="0" xfId="0" applyNumberFormat="1" applyFill="1" applyProtection="1"/>
    <xf numFmtId="0" fontId="18" fillId="9" borderId="0" xfId="0" applyFont="1" applyFill="1" applyProtection="1"/>
    <xf numFmtId="166" fontId="14" fillId="9" borderId="0" xfId="0" applyNumberFormat="1" applyFont="1" applyFill="1" applyProtection="1"/>
    <xf numFmtId="0" fontId="11" fillId="9" borderId="0" xfId="0" applyFont="1" applyFill="1" applyAlignment="1" applyProtection="1">
      <alignment horizontal="left"/>
      <protection locked="0"/>
    </xf>
    <xf numFmtId="0" fontId="11" fillId="9" borderId="0" xfId="0" applyFont="1" applyFill="1" applyAlignment="1" applyProtection="1">
      <alignment horizontal="left"/>
    </xf>
    <xf numFmtId="0" fontId="11" fillId="9" borderId="0" xfId="0" applyFont="1" applyFill="1" applyProtection="1"/>
    <xf numFmtId="0" fontId="14" fillId="9" borderId="0" xfId="0" applyNumberFormat="1" applyFont="1" applyFill="1" applyAlignment="1" applyProtection="1">
      <alignment horizontal="left"/>
      <protection locked="0"/>
    </xf>
    <xf numFmtId="0" fontId="0" fillId="9" borderId="14" xfId="0" applyFont="1" applyFill="1" applyBorder="1" applyAlignment="1" applyProtection="1">
      <alignment horizontal="right"/>
    </xf>
    <xf numFmtId="166" fontId="0" fillId="9" borderId="0" xfId="0" applyNumberFormat="1" applyFont="1" applyFill="1" applyBorder="1" applyProtection="1"/>
    <xf numFmtId="0" fontId="0" fillId="9" borderId="15" xfId="0" applyFont="1" applyFill="1" applyBorder="1" applyProtection="1"/>
    <xf numFmtId="0" fontId="11" fillId="9" borderId="16" xfId="0" applyFont="1" applyFill="1" applyBorder="1" applyAlignment="1" applyProtection="1">
      <alignment horizontal="right"/>
    </xf>
    <xf numFmtId="166" fontId="11" fillId="9" borderId="17" xfId="0" applyNumberFormat="1" applyFont="1" applyFill="1" applyBorder="1" applyProtection="1"/>
    <xf numFmtId="0" fontId="11" fillId="9" borderId="18" xfId="0" applyFont="1" applyFill="1" applyBorder="1" applyProtection="1"/>
    <xf numFmtId="0" fontId="0" fillId="12" borderId="0" xfId="0" applyFill="1" applyBorder="1" applyAlignment="1" applyProtection="1">
      <alignment horizontal="right"/>
    </xf>
    <xf numFmtId="0" fontId="0" fillId="12" borderId="2" xfId="0" applyFill="1" applyBorder="1" applyProtection="1"/>
    <xf numFmtId="0" fontId="16" fillId="8" borderId="0" xfId="0" applyFont="1" applyFill="1" applyAlignment="1">
      <alignment horizontal="right"/>
    </xf>
    <xf numFmtId="0" fontId="16" fillId="8" borderId="0" xfId="0" applyFont="1" applyFill="1" applyProtection="1">
      <protection locked="0"/>
    </xf>
    <xf numFmtId="0" fontId="16" fillId="8" borderId="0" xfId="0" applyFont="1" applyFill="1"/>
    <xf numFmtId="0" fontId="14" fillId="9" borderId="0" xfId="0" applyFont="1" applyFill="1" applyAlignment="1">
      <alignment horizontal="right"/>
    </xf>
    <xf numFmtId="0" fontId="14" fillId="9" borderId="0" xfId="0" applyFont="1" applyFill="1" applyProtection="1">
      <protection locked="0"/>
    </xf>
    <xf numFmtId="0" fontId="14" fillId="9" borderId="0" xfId="0" applyFont="1" applyFill="1"/>
    <xf numFmtId="164" fontId="0" fillId="10" borderId="1" xfId="0" applyNumberFormat="1" applyFill="1" applyBorder="1" applyProtection="1">
      <protection locked="0"/>
    </xf>
    <xf numFmtId="2" fontId="23" fillId="10" borderId="3" xfId="0" applyNumberFormat="1" applyFont="1" applyFill="1" applyBorder="1" applyProtection="1">
      <protection locked="0"/>
    </xf>
    <xf numFmtId="2" fontId="23" fillId="11" borderId="1" xfId="0" applyNumberFormat="1" applyFont="1" applyFill="1" applyBorder="1" applyProtection="1">
      <protection locked="0"/>
    </xf>
    <xf numFmtId="166" fontId="0" fillId="12" borderId="1" xfId="0" applyNumberFormat="1" applyFill="1" applyBorder="1" applyProtection="1">
      <protection locked="0"/>
    </xf>
    <xf numFmtId="0" fontId="1" fillId="9" borderId="11" xfId="0" applyFont="1" applyFill="1" applyBorder="1" applyAlignment="1" applyProtection="1">
      <alignment horizontal="center"/>
    </xf>
    <xf numFmtId="0" fontId="1" fillId="9" borderId="12" xfId="0" applyFont="1" applyFill="1" applyBorder="1" applyAlignment="1" applyProtection="1">
      <alignment horizontal="center"/>
    </xf>
    <xf numFmtId="0" fontId="1" fillId="9" borderId="13" xfId="0" applyFont="1" applyFill="1" applyBorder="1" applyAlignment="1" applyProtection="1">
      <alignment horizontal="center"/>
    </xf>
    <xf numFmtId="0" fontId="10" fillId="11" borderId="0" xfId="0" applyFont="1" applyFill="1" applyAlignment="1" applyProtection="1">
      <alignment horizontal="center"/>
    </xf>
    <xf numFmtId="166" fontId="10" fillId="11" borderId="0" xfId="0" applyNumberFormat="1" applyFont="1" applyFill="1" applyAlignment="1" applyProtection="1">
      <alignment horizontal="center"/>
    </xf>
    <xf numFmtId="165" fontId="10" fillId="11" borderId="0" xfId="0" applyNumberFormat="1" applyFont="1" applyFill="1" applyBorder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0" fontId="1" fillId="10" borderId="11" xfId="0" applyFont="1" applyFill="1" applyBorder="1" applyAlignment="1" applyProtection="1">
      <alignment horizontal="center"/>
    </xf>
    <xf numFmtId="0" fontId="1" fillId="10" borderId="12" xfId="0" applyFont="1" applyFill="1" applyBorder="1" applyAlignment="1" applyProtection="1">
      <alignment horizontal="center"/>
    </xf>
    <xf numFmtId="0" fontId="1" fillId="10" borderId="13" xfId="0" applyFont="1" applyFill="1" applyBorder="1" applyAlignment="1" applyProtection="1">
      <alignment horizontal="center"/>
    </xf>
    <xf numFmtId="0" fontId="1" fillId="8" borderId="11" xfId="0" applyFont="1" applyFill="1" applyBorder="1" applyAlignment="1" applyProtection="1">
      <alignment horizontal="center"/>
    </xf>
    <xf numFmtId="0" fontId="1" fillId="8" borderId="12" xfId="0" applyFont="1" applyFill="1" applyBorder="1" applyAlignment="1" applyProtection="1">
      <alignment horizontal="center"/>
    </xf>
    <xf numFmtId="0" fontId="1" fillId="8" borderId="13" xfId="0" applyFont="1" applyFill="1" applyBorder="1" applyAlignment="1" applyProtection="1">
      <alignment horizontal="center"/>
    </xf>
    <xf numFmtId="2" fontId="10" fillId="8" borderId="0" xfId="0" applyNumberFormat="1" applyFont="1" applyFill="1" applyAlignment="1" applyProtection="1">
      <alignment horizontal="center"/>
    </xf>
    <xf numFmtId="0" fontId="10" fillId="8" borderId="0" xfId="0" applyFont="1" applyFill="1" applyAlignment="1" applyProtection="1">
      <alignment horizontal="center"/>
    </xf>
    <xf numFmtId="0" fontId="1" fillId="2" borderId="0" xfId="0" applyFont="1" applyFill="1" applyAlignment="1" applyProtection="1">
      <alignment horizontal="center"/>
    </xf>
    <xf numFmtId="0" fontId="1" fillId="5" borderId="0" xfId="0" applyFont="1" applyFill="1" applyAlignment="1" applyProtection="1">
      <alignment horizontal="center"/>
    </xf>
    <xf numFmtId="0" fontId="11" fillId="8" borderId="0" xfId="0" applyFont="1" applyFill="1" applyAlignment="1" applyProtection="1">
      <alignment horizontal="left"/>
      <protection locked="0"/>
    </xf>
    <xf numFmtId="0" fontId="10" fillId="10" borderId="0" xfId="0" applyFont="1" applyFill="1" applyAlignment="1" applyProtection="1">
      <alignment horizontal="center"/>
    </xf>
    <xf numFmtId="2" fontId="10" fillId="10" borderId="0" xfId="0" applyNumberFormat="1" applyFont="1" applyFill="1" applyAlignment="1" applyProtection="1">
      <alignment horizontal="center"/>
    </xf>
    <xf numFmtId="0" fontId="10" fillId="9" borderId="0" xfId="0" applyFont="1" applyFill="1" applyAlignment="1" applyProtection="1">
      <alignment horizontal="center"/>
    </xf>
    <xf numFmtId="2" fontId="10" fillId="9" borderId="0" xfId="0" applyNumberFormat="1" applyFont="1" applyFill="1" applyAlignment="1" applyProtection="1">
      <alignment horizontal="center"/>
    </xf>
    <xf numFmtId="0" fontId="3" fillId="7" borderId="4" xfId="0" applyFont="1" applyFill="1" applyBorder="1" applyAlignment="1">
      <alignment horizontal="center"/>
    </xf>
    <xf numFmtId="166" fontId="10" fillId="9" borderId="0" xfId="0" applyNumberFormat="1" applyFont="1" applyFill="1" applyAlignment="1" applyProtection="1">
      <alignment horizontal="center"/>
    </xf>
    <xf numFmtId="0" fontId="0" fillId="0" borderId="9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0" xfId="0" applyBorder="1" applyAlignment="1">
      <alignment horizontal="left"/>
    </xf>
    <xf numFmtId="0" fontId="11" fillId="0" borderId="9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10" xfId="0" applyFont="1" applyBorder="1" applyAlignment="1">
      <alignment horizontal="left"/>
    </xf>
    <xf numFmtId="164" fontId="13" fillId="7" borderId="7" xfId="0" applyNumberFormat="1" applyFont="1" applyFill="1" applyBorder="1" applyAlignment="1">
      <alignment horizontal="center"/>
    </xf>
    <xf numFmtId="164" fontId="13" fillId="7" borderId="8" xfId="0" applyNumberFormat="1" applyFont="1" applyFill="1" applyBorder="1" applyAlignment="1">
      <alignment horizontal="center"/>
    </xf>
    <xf numFmtId="0" fontId="5" fillId="7" borderId="4" xfId="0" applyFont="1" applyFill="1" applyBorder="1" applyAlignment="1">
      <alignment horizontal="center"/>
    </xf>
    <xf numFmtId="0" fontId="5" fillId="7" borderId="5" xfId="0" applyFont="1" applyFill="1" applyBorder="1" applyAlignment="1">
      <alignment horizontal="center"/>
    </xf>
    <xf numFmtId="164" fontId="1" fillId="7" borderId="0" xfId="0" applyNumberFormat="1" applyFont="1" applyFill="1" applyBorder="1" applyAlignment="1">
      <alignment horizontal="center"/>
    </xf>
    <xf numFmtId="164" fontId="1" fillId="7" borderId="10" xfId="0" applyNumberFormat="1" applyFont="1" applyFill="1" applyBorder="1" applyAlignment="1">
      <alignment horizontal="center"/>
    </xf>
    <xf numFmtId="0" fontId="0" fillId="10" borderId="0" xfId="0" applyFill="1" applyAlignment="1" applyProtection="1">
      <alignment horizontal="center"/>
    </xf>
    <xf numFmtId="9" fontId="0" fillId="10" borderId="0" xfId="1" applyFont="1" applyFill="1" applyAlignment="1" applyProtection="1">
      <alignment horizontal="center"/>
    </xf>
    <xf numFmtId="166" fontId="10" fillId="8" borderId="0" xfId="0" applyNumberFormat="1" applyFont="1" applyFill="1" applyAlignment="1" applyProtection="1">
      <alignment horizontal="center"/>
    </xf>
    <xf numFmtId="0" fontId="1" fillId="4" borderId="0" xfId="0" applyFont="1" applyFill="1" applyAlignment="1" applyProtection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fmlaLink="$D$37" lockText="1" noThreeD="1"/>
</file>

<file path=xl/ctrlProps/ctrlProp2.xml><?xml version="1.0" encoding="utf-8"?>
<formControlPr xmlns="http://schemas.microsoft.com/office/spreadsheetml/2009/9/main" objectType="CheckBox" fmlaLink="$N$37" lockText="1" noThreeD="1"/>
</file>

<file path=xl/ctrlProps/ctrlProp3.xml><?xml version="1.0" encoding="utf-8"?>
<formControlPr xmlns="http://schemas.microsoft.com/office/spreadsheetml/2009/9/main" objectType="CheckBox" fmlaLink="$D$37" lockText="1" noThreeD="1"/>
</file>

<file path=xl/ctrlProps/ctrlProp4.xml><?xml version="1.0" encoding="utf-8"?>
<formControlPr xmlns="http://schemas.microsoft.com/office/spreadsheetml/2009/9/main" objectType="CheckBox" fmlaLink="$N$37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12</xdr:col>
          <xdr:colOff>571500</xdr:colOff>
          <xdr:row>41</xdr:row>
          <xdr:rowOff>160020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10</xdr:col>
      <xdr:colOff>28575</xdr:colOff>
      <xdr:row>13</xdr:row>
      <xdr:rowOff>76200</xdr:rowOff>
    </xdr:from>
    <xdr:to>
      <xdr:col>10</xdr:col>
      <xdr:colOff>514350</xdr:colOff>
      <xdr:row>18</xdr:row>
      <xdr:rowOff>66675</xdr:rowOff>
    </xdr:to>
    <xdr:sp macro="" textlink="">
      <xdr:nvSpPr>
        <xdr:cNvPr id="2" name="Rounded Rectangle 1"/>
        <xdr:cNvSpPr/>
      </xdr:nvSpPr>
      <xdr:spPr>
        <a:xfrm>
          <a:off x="6124575" y="2552700"/>
          <a:ext cx="485775" cy="942975"/>
        </a:xfrm>
        <a:prstGeom prst="roundRect">
          <a:avLst/>
        </a:prstGeom>
        <a:solidFill>
          <a:schemeClr val="accent3">
            <a:lumMod val="60000"/>
            <a:lumOff val="40000"/>
            <a:alpha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57150</xdr:colOff>
      <xdr:row>25</xdr:row>
      <xdr:rowOff>114300</xdr:rowOff>
    </xdr:from>
    <xdr:to>
      <xdr:col>10</xdr:col>
      <xdr:colOff>542925</xdr:colOff>
      <xdr:row>30</xdr:row>
      <xdr:rowOff>104775</xdr:rowOff>
    </xdr:to>
    <xdr:sp macro="" textlink="">
      <xdr:nvSpPr>
        <xdr:cNvPr id="4" name="Rounded Rectangle 3"/>
        <xdr:cNvSpPr/>
      </xdr:nvSpPr>
      <xdr:spPr>
        <a:xfrm>
          <a:off x="6153150" y="4876800"/>
          <a:ext cx="485775" cy="942975"/>
        </a:xfrm>
        <a:prstGeom prst="roundRect">
          <a:avLst/>
        </a:prstGeom>
        <a:solidFill>
          <a:schemeClr val="accent3">
            <a:lumMod val="60000"/>
            <a:lumOff val="40000"/>
            <a:alpha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</xdr:colOff>
          <xdr:row>3</xdr:row>
          <xdr:rowOff>38100</xdr:rowOff>
        </xdr:from>
        <xdr:to>
          <xdr:col>14</xdr:col>
          <xdr:colOff>480060</xdr:colOff>
          <xdr:row>24</xdr:row>
          <xdr:rowOff>152400</xdr:rowOff>
        </xdr:to>
        <xdr:sp macro="" textlink="">
          <xdr:nvSpPr>
            <xdr:cNvPr id="1044" name="Object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33</xdr:row>
          <xdr:rowOff>182880</xdr:rowOff>
        </xdr:from>
        <xdr:to>
          <xdr:col>0</xdr:col>
          <xdr:colOff>228600</xdr:colOff>
          <xdr:row>35</xdr:row>
          <xdr:rowOff>30480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33</xdr:row>
          <xdr:rowOff>182880</xdr:rowOff>
        </xdr:from>
        <xdr:to>
          <xdr:col>10</xdr:col>
          <xdr:colOff>220980</xdr:colOff>
          <xdr:row>35</xdr:row>
          <xdr:rowOff>30480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</xdr:colOff>
          <xdr:row>3</xdr:row>
          <xdr:rowOff>38100</xdr:rowOff>
        </xdr:from>
        <xdr:to>
          <xdr:col>14</xdr:col>
          <xdr:colOff>480060</xdr:colOff>
          <xdr:row>24</xdr:row>
          <xdr:rowOff>152400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33</xdr:row>
          <xdr:rowOff>182880</xdr:rowOff>
        </xdr:from>
        <xdr:to>
          <xdr:col>0</xdr:col>
          <xdr:colOff>228600</xdr:colOff>
          <xdr:row>35</xdr:row>
          <xdr:rowOff>30480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33</xdr:row>
          <xdr:rowOff>182880</xdr:rowOff>
        </xdr:from>
        <xdr:to>
          <xdr:col>10</xdr:col>
          <xdr:colOff>220980</xdr:colOff>
          <xdr:row>35</xdr:row>
          <xdr:rowOff>30480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Microsoft_Visio_2003-2010_Drawing1.vsd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image" Target="../media/image2.emf"/><Relationship Id="rId4" Type="http://schemas.openxmlformats.org/officeDocument/2006/relationships/oleObject" Target="../embeddings/Microsoft_Visio_2003-2010_Drawing2.vsd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mments" Target="../comments2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image" Target="../media/image2.emf"/><Relationship Id="rId4" Type="http://schemas.openxmlformats.org/officeDocument/2006/relationships/oleObject" Target="../embeddings/Microsoft_Visio_2003-2010_Drawing3.vsd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tabSelected="1" zoomScale="80" zoomScaleNormal="80" workbookViewId="0">
      <selection activeCell="O18" sqref="O18"/>
    </sheetView>
  </sheetViews>
  <sheetFormatPr defaultRowHeight="14.4" x14ac:dyDescent="0.3"/>
  <cols>
    <col min="14" max="14" width="2.109375" customWidth="1"/>
    <col min="15" max="15" width="45.6640625" customWidth="1"/>
  </cols>
  <sheetData/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Visio.Drawing.11" shapeId="2049" r:id="rId3">
          <objectPr defaultSize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12</xdr:col>
                <xdr:colOff>571500</xdr:colOff>
                <xdr:row>41</xdr:row>
                <xdr:rowOff>160020</xdr:rowOff>
              </to>
            </anchor>
          </objectPr>
        </oleObject>
      </mc:Choice>
      <mc:Fallback>
        <oleObject progId="Visio.Drawing.11" shapeId="2049" r:id="rId3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9"/>
  <sheetViews>
    <sheetView showRowColHeaders="0" zoomScale="80" zoomScaleNormal="80" workbookViewId="0">
      <pane ySplit="3" topLeftCell="A4" activePane="bottomLeft" state="frozen"/>
      <selection pane="bottomLeft" activeCell="L28" sqref="L28"/>
    </sheetView>
  </sheetViews>
  <sheetFormatPr defaultRowHeight="14.4" x14ac:dyDescent="0.3"/>
  <cols>
    <col min="1" max="1" width="28.5546875" customWidth="1"/>
    <col min="2" max="2" width="5.6640625" style="1" customWidth="1"/>
    <col min="3" max="3" width="4.109375" bestFit="1" customWidth="1"/>
    <col min="4" max="4" width="3.5546875" customWidth="1"/>
    <col min="5" max="5" width="24.44140625" customWidth="1"/>
    <col min="6" max="6" width="5.6640625" style="2" customWidth="1"/>
    <col min="7" max="7" width="4.33203125" customWidth="1"/>
    <col min="8" max="8" width="10.6640625" customWidth="1"/>
    <col min="9" max="9" width="9.109375" customWidth="1"/>
    <col min="10" max="10" width="9.44140625" customWidth="1"/>
    <col min="11" max="11" width="28.33203125" customWidth="1"/>
    <col min="12" max="12" width="6.44140625" customWidth="1"/>
    <col min="13" max="13" width="5.5546875" bestFit="1" customWidth="1"/>
    <col min="14" max="14" width="9.5546875" customWidth="1"/>
    <col min="15" max="15" width="22.33203125" customWidth="1"/>
    <col min="16" max="16" width="6.33203125" customWidth="1"/>
    <col min="17" max="17" width="4.33203125" customWidth="1"/>
  </cols>
  <sheetData>
    <row r="1" spans="1:20" ht="15" thickBot="1" x14ac:dyDescent="0.35">
      <c r="A1" t="s">
        <v>62</v>
      </c>
      <c r="K1" s="50" t="s">
        <v>25</v>
      </c>
      <c r="L1" s="187" t="s">
        <v>26</v>
      </c>
      <c r="M1" s="187"/>
      <c r="N1" s="18" t="s">
        <v>32</v>
      </c>
      <c r="O1" s="197" t="s">
        <v>31</v>
      </c>
      <c r="P1" s="198"/>
    </row>
    <row r="2" spans="1:20" x14ac:dyDescent="0.3">
      <c r="A2" t="s">
        <v>63</v>
      </c>
      <c r="E2" s="3" t="s">
        <v>47</v>
      </c>
      <c r="F2" s="6">
        <f>F19+F39+P39+F55</f>
        <v>2.5193391270456353</v>
      </c>
      <c r="G2" s="7" t="s">
        <v>2</v>
      </c>
      <c r="H2" s="189" t="s">
        <v>61</v>
      </c>
      <c r="I2" s="190"/>
      <c r="J2" s="191"/>
      <c r="K2" s="51" t="s">
        <v>24</v>
      </c>
      <c r="L2" s="4">
        <v>25</v>
      </c>
      <c r="M2" s="5" t="s">
        <v>23</v>
      </c>
      <c r="N2" s="19">
        <f>F2*L2</f>
        <v>62.983478176140885</v>
      </c>
      <c r="O2" s="199">
        <f>150-N2</f>
        <v>87.016521823859108</v>
      </c>
      <c r="P2" s="200"/>
      <c r="Q2" s="14" t="s">
        <v>61</v>
      </c>
      <c r="R2" s="15"/>
      <c r="S2" s="15"/>
    </row>
    <row r="3" spans="1:20" ht="15" thickBot="1" x14ac:dyDescent="0.35">
      <c r="E3" s="8" t="str">
        <f>IF(OR(D37=TRUE,N37=TRUE),"Total Internal Dissipation: ","")</f>
        <v/>
      </c>
      <c r="F3" s="9" t="str">
        <f>IF(OR(D37=TRUE,N37=TRUE),F20+IF(D37=TRUE,F40,F39)+IF(N37=TRUE,P40,P39)+F55,"")</f>
        <v/>
      </c>
      <c r="G3" s="10" t="str">
        <f>IF(OR(D37=TRUE,N37=TRUE),"W","")</f>
        <v/>
      </c>
      <c r="H3" s="192" t="str">
        <f>IF(D37=TRUE,IF(N37=TRUE,"with SW2 &amp; SW3 diodes","with SW2 diode"),IF(N37=TRUE,"with SW3 diode",""))</f>
        <v/>
      </c>
      <c r="I3" s="193"/>
      <c r="J3" s="194"/>
      <c r="K3" s="11"/>
      <c r="L3" s="12"/>
      <c r="M3" s="13"/>
      <c r="N3" s="17" t="str">
        <f>IF(OR(D37=TRUE,N37=TRUE),F3*L2,"")</f>
        <v/>
      </c>
      <c r="O3" s="195" t="str">
        <f>IF(OR(D37=TRUE,N37=TRUE),150-N3,"")</f>
        <v/>
      </c>
      <c r="P3" s="196"/>
      <c r="Q3" s="27" t="str">
        <f>IF(D37=TRUE,IF(N37=TRUE,"with SW2 &amp; SW3 diodes","with SW2 diode"),IF(N37=TRUE,"with SW3 diode",""))</f>
        <v/>
      </c>
      <c r="R3" s="16"/>
      <c r="S3" s="16"/>
    </row>
    <row r="4" spans="1:20" x14ac:dyDescent="0.3">
      <c r="A4" s="32"/>
      <c r="B4" s="33"/>
      <c r="C4" s="32"/>
      <c r="D4" s="32"/>
      <c r="E4" s="32"/>
      <c r="F4" s="34"/>
      <c r="G4" s="32"/>
      <c r="H4" s="32"/>
      <c r="I4" s="32"/>
      <c r="J4" s="32"/>
      <c r="O4" s="32"/>
      <c r="P4" s="32"/>
      <c r="Q4" s="32"/>
      <c r="R4" s="32"/>
      <c r="S4" s="32"/>
      <c r="T4" s="32"/>
    </row>
    <row r="5" spans="1:20" x14ac:dyDescent="0.3">
      <c r="A5" s="32"/>
      <c r="B5" s="33"/>
      <c r="C5" s="32"/>
      <c r="D5" s="32"/>
      <c r="E5" s="32"/>
      <c r="F5" s="34"/>
      <c r="G5" s="32"/>
      <c r="H5" s="32"/>
      <c r="I5" s="32"/>
      <c r="J5" s="32"/>
      <c r="O5" s="32"/>
      <c r="P5" s="32"/>
      <c r="Q5" s="32"/>
      <c r="R5" s="32"/>
      <c r="S5" s="32"/>
      <c r="T5" s="32"/>
    </row>
    <row r="6" spans="1:20" x14ac:dyDescent="0.3">
      <c r="A6" s="32"/>
      <c r="B6" s="33"/>
      <c r="C6" s="32"/>
      <c r="D6" s="32"/>
      <c r="E6" s="32"/>
      <c r="F6" s="34"/>
      <c r="G6" s="32"/>
      <c r="H6" s="32"/>
      <c r="I6" s="32"/>
      <c r="J6" s="32"/>
      <c r="O6" s="32"/>
      <c r="P6" s="32"/>
      <c r="Q6" s="32"/>
      <c r="R6" s="32"/>
      <c r="S6" s="32"/>
      <c r="T6" s="32"/>
    </row>
    <row r="7" spans="1:20" ht="15" thickBot="1" x14ac:dyDescent="0.35">
      <c r="A7" s="28" t="s">
        <v>27</v>
      </c>
      <c r="B7" s="28"/>
      <c r="C7" s="28"/>
      <c r="D7" s="28"/>
      <c r="E7" s="28"/>
      <c r="F7" s="28"/>
      <c r="G7" s="28"/>
      <c r="H7" s="28"/>
      <c r="I7" s="28"/>
      <c r="J7" s="32"/>
      <c r="O7" s="32"/>
      <c r="P7" s="32"/>
      <c r="Q7" s="32"/>
      <c r="R7" s="32"/>
      <c r="S7" s="32"/>
      <c r="T7" s="32"/>
    </row>
    <row r="8" spans="1:20" ht="15" thickBot="1" x14ac:dyDescent="0.35">
      <c r="A8" s="42" t="s">
        <v>0</v>
      </c>
      <c r="B8" s="161">
        <v>8</v>
      </c>
      <c r="C8" s="63" t="s">
        <v>1</v>
      </c>
      <c r="D8" s="30"/>
      <c r="E8" s="42" t="s">
        <v>4</v>
      </c>
      <c r="F8" s="64">
        <f>(3.3+B20+F10*IF(B8&gt;7.5,B12,B12+0.05))/(B8-(IF(B8&gt;7.5,B12,B12+0.05)*B15)+B20)</f>
        <v>0.54293157898818578</v>
      </c>
      <c r="G8" s="30"/>
      <c r="H8" s="30"/>
      <c r="I8" s="30"/>
      <c r="J8" s="32"/>
      <c r="O8" s="32"/>
      <c r="P8" s="32"/>
      <c r="Q8" s="32"/>
      <c r="R8" s="32"/>
      <c r="S8" s="32"/>
      <c r="T8" s="32"/>
    </row>
    <row r="9" spans="1:20" ht="15" thickBot="1" x14ac:dyDescent="0.35">
      <c r="A9" s="153" t="s">
        <v>53</v>
      </c>
      <c r="B9" s="164">
        <v>2.2799999999999998</v>
      </c>
      <c r="C9" s="154" t="s">
        <v>3</v>
      </c>
      <c r="D9" s="30"/>
      <c r="E9" s="65" t="s">
        <v>37</v>
      </c>
      <c r="F9" s="162">
        <v>3.3</v>
      </c>
      <c r="G9" s="66" t="s">
        <v>38</v>
      </c>
      <c r="H9" s="30"/>
      <c r="I9" s="30"/>
      <c r="J9" s="32"/>
      <c r="O9" s="32"/>
      <c r="P9" s="32"/>
      <c r="Q9" s="32"/>
      <c r="R9" s="32"/>
      <c r="S9" s="32"/>
      <c r="T9" s="32"/>
    </row>
    <row r="10" spans="1:20" ht="15" thickBot="1" x14ac:dyDescent="0.35">
      <c r="A10" s="25"/>
      <c r="B10" s="26"/>
      <c r="C10" s="25"/>
      <c r="D10" s="30"/>
      <c r="E10" s="42" t="s">
        <v>20</v>
      </c>
      <c r="F10" s="67">
        <v>5.6000000000000001E-2</v>
      </c>
      <c r="G10" s="68" t="s">
        <v>12</v>
      </c>
      <c r="H10" s="183" t="s">
        <v>65</v>
      </c>
      <c r="I10" s="183"/>
      <c r="J10" s="32"/>
      <c r="O10" s="32"/>
      <c r="P10" s="32"/>
      <c r="Q10" s="32"/>
      <c r="R10" s="32"/>
      <c r="S10" s="32"/>
      <c r="T10" s="32"/>
    </row>
    <row r="11" spans="1:20" x14ac:dyDescent="0.3">
      <c r="A11" s="172" t="s">
        <v>52</v>
      </c>
      <c r="B11" s="173"/>
      <c r="C11" s="174"/>
      <c r="D11" s="30"/>
      <c r="E11" s="25"/>
      <c r="F11" s="24"/>
      <c r="G11" s="25"/>
      <c r="H11" s="184">
        <f>(3.3+B20+B12*F10)*(1-(3.3+B20)/(B8+B20-B12*(B15+F10)))/(0.000001*F9*1000*B18)</f>
        <v>0.24997729938150734</v>
      </c>
      <c r="I11" s="184"/>
      <c r="J11" s="32"/>
      <c r="O11" s="32"/>
      <c r="P11" s="32"/>
      <c r="Q11" s="32"/>
      <c r="R11" s="32"/>
      <c r="S11" s="32"/>
      <c r="T11" s="32"/>
    </row>
    <row r="12" spans="1:20" x14ac:dyDescent="0.3">
      <c r="A12" s="69" t="s">
        <v>54</v>
      </c>
      <c r="B12" s="48">
        <f>(((B28*B29)+F39+F31)+((L28*L29)+P39+P31)+F56)/3.3+B9+B23</f>
        <v>3.1111980817518727</v>
      </c>
      <c r="C12" s="49" t="s">
        <v>3</v>
      </c>
      <c r="D12" s="30"/>
      <c r="E12" s="42" t="s">
        <v>35</v>
      </c>
      <c r="F12" s="64">
        <f>H14^2*F10</f>
        <v>0.5423466099191675</v>
      </c>
      <c r="G12" s="30" t="s">
        <v>2</v>
      </c>
      <c r="H12" s="30"/>
      <c r="I12" s="30"/>
      <c r="J12" s="32"/>
      <c r="O12" s="32"/>
      <c r="P12" s="32"/>
      <c r="Q12" s="32"/>
      <c r="R12" s="32"/>
      <c r="S12" s="32"/>
      <c r="T12" s="32"/>
    </row>
    <row r="13" spans="1:20" x14ac:dyDescent="0.3">
      <c r="A13" s="45" t="str">
        <f>IF(D37=TRUE,IF(N37=TRUE,"With SW2 &amp; SW3 diodes","With SW2 diode"),IF(N37=TRUE,"With SW3 diode",""))</f>
        <v/>
      </c>
      <c r="B13" s="46" t="str">
        <f>IF(OR(D37=TRUE,N37=TRUE),(F42+P42+F56)/3.3+B9+B23,"")</f>
        <v/>
      </c>
      <c r="C13" s="47" t="str">
        <f>IF(OR(D37=TRUE,N37=TRUE),"A","")</f>
        <v/>
      </c>
      <c r="D13" s="30"/>
      <c r="E13" s="70" t="s">
        <v>15</v>
      </c>
      <c r="F13" s="71">
        <f>F8*(SQRT(IF(B8&gt;7.5,B12,B12+0.05)^2+H11^2/12))^2*B15</f>
        <v>1.8805663611306762</v>
      </c>
      <c r="G13" s="72" t="s">
        <v>2</v>
      </c>
      <c r="H13" s="183" t="s">
        <v>40</v>
      </c>
      <c r="I13" s="183"/>
      <c r="J13" s="32"/>
      <c r="O13" s="32"/>
      <c r="P13" s="32"/>
      <c r="Q13" s="32"/>
      <c r="R13" s="32"/>
      <c r="S13" s="32"/>
      <c r="T13" s="32"/>
    </row>
    <row r="14" spans="1:20" x14ac:dyDescent="0.3">
      <c r="A14" s="42"/>
      <c r="B14" s="26"/>
      <c r="C14" s="30"/>
      <c r="D14" s="30"/>
      <c r="E14" s="70" t="s">
        <v>14</v>
      </c>
      <c r="F14" s="71">
        <f>0.5*B8*IF(B8&gt;7.5,B12,B12+0.05)*((B16+B17)*0.000000001)*(B18*1000)</f>
        <v>0.20036115646482061</v>
      </c>
      <c r="G14" s="72" t="s">
        <v>2</v>
      </c>
      <c r="H14" s="184">
        <f>SQRT(IF(B8&gt;7.5,B12,B12+0.05)^2+H11^2/12)</f>
        <v>3.1120348473970698</v>
      </c>
      <c r="I14" s="184"/>
      <c r="J14" s="32"/>
      <c r="O14" s="32"/>
      <c r="P14" s="32"/>
      <c r="Q14" s="32"/>
      <c r="R14" s="32"/>
      <c r="S14" s="32"/>
      <c r="T14" s="32"/>
    </row>
    <row r="15" spans="1:20" x14ac:dyDescent="0.3">
      <c r="A15" s="70" t="s">
        <v>5</v>
      </c>
      <c r="B15" s="73">
        <f>0.304/0.85</f>
        <v>0.35764705882352943</v>
      </c>
      <c r="C15" s="74" t="s">
        <v>12</v>
      </c>
      <c r="D15" s="30"/>
      <c r="E15" s="70" t="s">
        <v>16</v>
      </c>
      <c r="F15" s="71">
        <f>B8*B19</f>
        <v>3.2000000000000001E-2</v>
      </c>
      <c r="G15" s="72" t="s">
        <v>2</v>
      </c>
      <c r="H15" s="30"/>
      <c r="I15" s="30"/>
      <c r="J15" s="32"/>
      <c r="O15" s="32"/>
      <c r="P15" s="32"/>
      <c r="Q15" s="32"/>
      <c r="R15" s="32"/>
      <c r="S15" s="32"/>
      <c r="T15" s="32"/>
    </row>
    <row r="16" spans="1:20" x14ac:dyDescent="0.3">
      <c r="A16" s="70" t="s">
        <v>7</v>
      </c>
      <c r="B16" s="75">
        <v>5</v>
      </c>
      <c r="C16" s="74" t="s">
        <v>34</v>
      </c>
      <c r="D16" s="30"/>
      <c r="E16" s="42" t="s">
        <v>17</v>
      </c>
      <c r="F16" s="31">
        <f>(1-F8)*(B20*IF(B8&gt;7.5,B12,B12+0.05))</f>
        <v>0.82477762891516193</v>
      </c>
      <c r="G16" s="30" t="s">
        <v>2</v>
      </c>
      <c r="H16" s="183" t="s">
        <v>39</v>
      </c>
      <c r="I16" s="183"/>
      <c r="J16" s="32"/>
      <c r="O16" s="32"/>
      <c r="P16" s="32"/>
      <c r="Q16" s="32"/>
      <c r="R16" s="32"/>
      <c r="S16" s="32"/>
      <c r="T16" s="32"/>
    </row>
    <row r="17" spans="1:20" x14ac:dyDescent="0.3">
      <c r="A17" s="70" t="s">
        <v>8</v>
      </c>
      <c r="B17" s="75">
        <v>2</v>
      </c>
      <c r="C17" s="74" t="s">
        <v>34</v>
      </c>
      <c r="D17" s="30"/>
      <c r="E17" s="70" t="s">
        <v>45</v>
      </c>
      <c r="F17" s="71">
        <f>(B8-3.3)*B22</f>
        <v>6.5799999999999997E-2</v>
      </c>
      <c r="G17" s="72" t="s">
        <v>2</v>
      </c>
      <c r="H17" s="184">
        <f>IF(B8&gt;7.5,B12,B12+0.05)+H11/2</f>
        <v>3.2361867314426265</v>
      </c>
      <c r="I17" s="184"/>
      <c r="J17" s="32"/>
      <c r="O17" s="32"/>
      <c r="P17" s="32"/>
      <c r="Q17" s="32"/>
      <c r="R17" s="32"/>
      <c r="S17" s="32"/>
      <c r="T17" s="32"/>
    </row>
    <row r="18" spans="1:20" x14ac:dyDescent="0.3">
      <c r="A18" s="42" t="s">
        <v>9</v>
      </c>
      <c r="B18" s="76">
        <f>IF(B8&gt;18.9,1000,2300)</f>
        <v>2300</v>
      </c>
      <c r="C18" s="77" t="s">
        <v>33</v>
      </c>
      <c r="D18" s="30"/>
      <c r="E18" s="172" t="s">
        <v>50</v>
      </c>
      <c r="F18" s="173"/>
      <c r="G18" s="174"/>
      <c r="H18" s="30"/>
      <c r="I18" s="30"/>
      <c r="J18" s="32"/>
      <c r="O18" s="32"/>
      <c r="P18" s="32"/>
      <c r="Q18" s="32"/>
      <c r="R18" s="32"/>
      <c r="S18" s="32"/>
      <c r="T18" s="32"/>
    </row>
    <row r="19" spans="1:20" x14ac:dyDescent="0.3">
      <c r="A19" s="70" t="s">
        <v>10</v>
      </c>
      <c r="B19" s="75">
        <v>4.0000000000000001E-3</v>
      </c>
      <c r="C19" s="72" t="s">
        <v>3</v>
      </c>
      <c r="D19" s="30"/>
      <c r="E19" s="69" t="s">
        <v>51</v>
      </c>
      <c r="F19" s="78">
        <f>F13+F14+F15+F17</f>
        <v>2.1787275175954965</v>
      </c>
      <c r="G19" s="79" t="s">
        <v>2</v>
      </c>
      <c r="H19" s="30"/>
      <c r="I19" s="30"/>
      <c r="J19" s="32"/>
      <c r="O19" s="32"/>
      <c r="P19" s="32"/>
      <c r="Q19" s="32"/>
      <c r="R19" s="32"/>
      <c r="S19" s="32"/>
      <c r="T19" s="32"/>
    </row>
    <row r="20" spans="1:20" x14ac:dyDescent="0.3">
      <c r="A20" s="42" t="s">
        <v>11</v>
      </c>
      <c r="B20" s="29">
        <f>IF(B12&lt;1.5,0.38,IF(B12&lt;2,0.45,IF(B12&lt;2.5,0.53,IF(B12&lt;3,0.55,IF(B12&lt;3.5,0.58,0.62)))))</f>
        <v>0.57999999999999996</v>
      </c>
      <c r="C20" s="30" t="s">
        <v>1</v>
      </c>
      <c r="D20" s="30"/>
      <c r="E20" s="45" t="str">
        <f>IF(D37=TRUE,IF(N37=TRUE,"With SW2 &amp; SW3 diodes","With SW2 diode"),IF(N37=TRUE,"With SW3 diode",""))</f>
        <v/>
      </c>
      <c r="F20" s="46" t="str">
        <f>IF(OR(D37=TRUE,N37=TRUE),(F8*(SQRT(IF(B8&gt;7.5,B13,B13+0.05)^2+H11^2/12))^2*B15)+(0.5*B8*IF(B8&gt;7.5,B13,B13+0.05)*((B16+B17)*0.000000001)*(B18*1000))+F15+F17,"")</f>
        <v/>
      </c>
      <c r="G20" s="47" t="str">
        <f>IF(OR(D37=TRUE,N37=TRUE),"W","")</f>
        <v/>
      </c>
      <c r="H20" s="201" t="s">
        <v>67</v>
      </c>
      <c r="I20" s="201"/>
      <c r="J20" s="32"/>
      <c r="O20" s="32"/>
      <c r="P20" s="32"/>
      <c r="Q20" s="32"/>
      <c r="R20" s="32"/>
      <c r="S20" s="32"/>
      <c r="T20" s="32"/>
    </row>
    <row r="21" spans="1:20" x14ac:dyDescent="0.3">
      <c r="A21" s="42" t="s">
        <v>55</v>
      </c>
      <c r="B21" s="29"/>
      <c r="C21" s="30"/>
      <c r="D21" s="30"/>
      <c r="E21" s="172" t="s">
        <v>56</v>
      </c>
      <c r="F21" s="173"/>
      <c r="G21" s="174"/>
      <c r="H21" s="201" t="s">
        <v>57</v>
      </c>
      <c r="I21" s="201"/>
      <c r="J21" s="32"/>
      <c r="O21" s="32"/>
      <c r="P21" s="32"/>
      <c r="Q21" s="32"/>
      <c r="R21" s="32"/>
      <c r="S21" s="32"/>
      <c r="T21" s="32"/>
    </row>
    <row r="22" spans="1:20" x14ac:dyDescent="0.3">
      <c r="A22" s="70" t="s">
        <v>13</v>
      </c>
      <c r="B22" s="75">
        <v>1.4E-2</v>
      </c>
      <c r="C22" s="72" t="s">
        <v>3</v>
      </c>
      <c r="D22" s="30"/>
      <c r="E22" s="69" t="s">
        <v>51</v>
      </c>
      <c r="F22" s="48">
        <f>F12+(IF(B8&gt;7.5,B12,B12+0.05)*3.3)+F16+F19</f>
        <v>13.812805426211007</v>
      </c>
      <c r="G22" s="49" t="s">
        <v>2</v>
      </c>
      <c r="H22" s="202">
        <f>(3.3*B9+B28*B29+L28*L29+5*B46)/F22</f>
        <v>0.70992095359515139</v>
      </c>
      <c r="I22" s="202"/>
      <c r="J22" s="32"/>
      <c r="O22" s="32"/>
      <c r="P22" s="32"/>
      <c r="Q22" s="32"/>
      <c r="R22" s="32"/>
      <c r="S22" s="32"/>
      <c r="T22" s="32"/>
    </row>
    <row r="23" spans="1:20" x14ac:dyDescent="0.3">
      <c r="A23" s="70" t="s">
        <v>36</v>
      </c>
      <c r="B23" s="75">
        <v>2.5000000000000001E-2</v>
      </c>
      <c r="C23" s="72" t="s">
        <v>3</v>
      </c>
      <c r="D23" s="30"/>
      <c r="E23" s="45" t="str">
        <f>IF(D37=TRUE,IF(N37=TRUE,"With SW2 &amp; SW3 diodes","With SW2 diode"),IF(N37=TRUE,"With SW3 diode",""))</f>
        <v/>
      </c>
      <c r="F23" s="46" t="str">
        <f>IF(OR(D37=TRUE,N37=TRUE),F12+(IF(B8&gt;7.5,B13,B13+0.05)*3.3)+(1-F8)*(B20*IF(B8&gt;7.5,B13,B13+0.05))+F20,"")</f>
        <v/>
      </c>
      <c r="G23" s="47" t="str">
        <f>IF(OR(D37=TRUE,N37=TRUE),"W","")</f>
        <v/>
      </c>
      <c r="H23" s="202" t="str">
        <f>IF(OR(D37=TRUE,N37=TRUE),(3.3*B9+B28*B29+L28*L29+5*B46)/F23,"")</f>
        <v/>
      </c>
      <c r="I23" s="202"/>
      <c r="J23" s="32"/>
      <c r="O23" s="32"/>
      <c r="P23" s="32"/>
      <c r="Q23" s="32"/>
      <c r="R23" s="32"/>
      <c r="S23" s="32"/>
      <c r="T23" s="32"/>
    </row>
    <row r="24" spans="1:20" x14ac:dyDescent="0.3">
      <c r="A24" s="32"/>
      <c r="B24" s="33"/>
      <c r="C24" s="32"/>
      <c r="D24" s="32"/>
      <c r="E24" s="32"/>
      <c r="F24" s="34"/>
      <c r="G24" s="32"/>
      <c r="H24" s="32"/>
      <c r="I24" s="32"/>
      <c r="J24" s="32"/>
      <c r="O24" s="32"/>
      <c r="P24" s="32"/>
      <c r="Q24" s="32"/>
      <c r="R24" s="32"/>
      <c r="S24" s="32"/>
      <c r="T24" s="32"/>
    </row>
    <row r="25" spans="1:20" x14ac:dyDescent="0.3">
      <c r="A25" s="32"/>
      <c r="B25" s="33"/>
      <c r="C25" s="32"/>
      <c r="D25" s="32"/>
      <c r="E25" s="32"/>
      <c r="F25" s="34"/>
      <c r="G25" s="32"/>
      <c r="H25" s="32"/>
      <c r="I25" s="32"/>
      <c r="J25" s="32"/>
      <c r="O25" s="32"/>
      <c r="P25" s="32"/>
      <c r="Q25" s="32"/>
      <c r="R25" s="32"/>
      <c r="S25" s="32"/>
      <c r="T25" s="32"/>
    </row>
    <row r="26" spans="1:20" x14ac:dyDescent="0.3">
      <c r="A26" s="180" t="s">
        <v>28</v>
      </c>
      <c r="B26" s="180"/>
      <c r="C26" s="180"/>
      <c r="D26" s="180"/>
      <c r="E26" s="180"/>
      <c r="F26" s="180"/>
      <c r="G26" s="180"/>
      <c r="H26" s="36"/>
      <c r="I26" s="36"/>
      <c r="J26" s="32"/>
      <c r="K26" s="204" t="s">
        <v>29</v>
      </c>
      <c r="L26" s="204"/>
      <c r="M26" s="204"/>
      <c r="N26" s="204"/>
      <c r="O26" s="204"/>
      <c r="P26" s="204"/>
      <c r="Q26" s="204"/>
      <c r="R26" s="38"/>
      <c r="S26" s="38"/>
      <c r="T26" s="32"/>
    </row>
    <row r="27" spans="1:20" ht="15" thickBot="1" x14ac:dyDescent="0.35">
      <c r="A27" s="80" t="s">
        <v>18</v>
      </c>
      <c r="B27" s="81">
        <v>3.3</v>
      </c>
      <c r="C27" s="80" t="s">
        <v>1</v>
      </c>
      <c r="D27" s="82"/>
      <c r="E27" s="43" t="s">
        <v>4</v>
      </c>
      <c r="F27" s="58">
        <f>(B28+(B29*B32)+(F29*B29))/(B27-(B29*B31)+(B29*B32))</f>
        <v>0.6062540646000435</v>
      </c>
      <c r="G27" s="37"/>
      <c r="H27" s="37"/>
      <c r="I27" s="37"/>
      <c r="J27" s="32"/>
      <c r="K27" s="130" t="s">
        <v>46</v>
      </c>
      <c r="L27" s="131">
        <v>3.3</v>
      </c>
      <c r="M27" s="130" t="s">
        <v>1</v>
      </c>
      <c r="N27" s="132"/>
      <c r="O27" s="44" t="s">
        <v>4</v>
      </c>
      <c r="P27" s="57">
        <f>(L28+(L29*L32)+(P29*L29))/(L27-(L29*L31)+(L29*L32))</f>
        <v>0.46900935062696608</v>
      </c>
      <c r="Q27" s="39"/>
      <c r="R27" s="39"/>
      <c r="S27" s="39"/>
      <c r="T27" s="32"/>
    </row>
    <row r="28" spans="1:20" ht="15" thickBot="1" x14ac:dyDescent="0.35">
      <c r="A28" s="43" t="s">
        <v>19</v>
      </c>
      <c r="B28" s="83">
        <v>1.8</v>
      </c>
      <c r="C28" s="84" t="s">
        <v>1</v>
      </c>
      <c r="D28" s="37"/>
      <c r="E28" s="43" t="s">
        <v>37</v>
      </c>
      <c r="F28" s="83">
        <v>2.2000000000000002</v>
      </c>
      <c r="G28" s="85" t="s">
        <v>38</v>
      </c>
      <c r="H28" s="37"/>
      <c r="I28" s="37"/>
      <c r="J28" s="32"/>
      <c r="K28" s="44" t="s">
        <v>21</v>
      </c>
      <c r="L28" s="133">
        <v>1.35</v>
      </c>
      <c r="M28" s="134" t="s">
        <v>1</v>
      </c>
      <c r="N28" s="39"/>
      <c r="O28" s="44" t="s">
        <v>37</v>
      </c>
      <c r="P28" s="133">
        <v>1</v>
      </c>
      <c r="Q28" s="134" t="s">
        <v>38</v>
      </c>
      <c r="R28" s="39"/>
      <c r="S28" s="39"/>
      <c r="T28" s="32"/>
    </row>
    <row r="29" spans="1:20" ht="15" thickBot="1" x14ac:dyDescent="0.35">
      <c r="A29" s="43" t="s">
        <v>42</v>
      </c>
      <c r="B29" s="83">
        <v>0.6</v>
      </c>
      <c r="C29" s="84" t="s">
        <v>3</v>
      </c>
      <c r="D29" s="37"/>
      <c r="E29" s="43" t="s">
        <v>20</v>
      </c>
      <c r="F29" s="86">
        <v>4.9000000000000002E-2</v>
      </c>
      <c r="G29" s="85" t="s">
        <v>12</v>
      </c>
      <c r="H29" s="21"/>
      <c r="I29" s="21"/>
      <c r="J29" s="32"/>
      <c r="K29" s="44" t="s">
        <v>43</v>
      </c>
      <c r="L29" s="133">
        <v>0.72</v>
      </c>
      <c r="M29" s="134" t="s">
        <v>3</v>
      </c>
      <c r="N29" s="39"/>
      <c r="O29" s="44" t="s">
        <v>20</v>
      </c>
      <c r="P29" s="135">
        <v>1.7999999999999999E-2</v>
      </c>
      <c r="Q29" s="136" t="s">
        <v>12</v>
      </c>
      <c r="R29" s="39"/>
      <c r="S29" s="39"/>
      <c r="T29" s="32"/>
    </row>
    <row r="30" spans="1:20" x14ac:dyDescent="0.3">
      <c r="A30" s="87" t="s">
        <v>10</v>
      </c>
      <c r="B30" s="88">
        <v>4.0000000000000001E-3</v>
      </c>
      <c r="C30" s="89" t="s">
        <v>3</v>
      </c>
      <c r="D30" s="37"/>
      <c r="E30" s="43" t="s">
        <v>9</v>
      </c>
      <c r="F30" s="90">
        <f>IF(B8&gt;18.9,1000,2300)</f>
        <v>2300</v>
      </c>
      <c r="G30" s="37" t="s">
        <v>33</v>
      </c>
      <c r="H30" s="179" t="s">
        <v>65</v>
      </c>
      <c r="I30" s="179"/>
      <c r="J30" s="32"/>
      <c r="K30" s="137" t="s">
        <v>10</v>
      </c>
      <c r="L30" s="138">
        <v>4.0000000000000001E-3</v>
      </c>
      <c r="M30" s="139" t="s">
        <v>3</v>
      </c>
      <c r="N30" s="23"/>
      <c r="O30" s="44" t="s">
        <v>9</v>
      </c>
      <c r="P30" s="140">
        <f>IF(B8&gt;18.9,1000,2300)</f>
        <v>2300</v>
      </c>
      <c r="Q30" s="39" t="s">
        <v>33</v>
      </c>
      <c r="R30" s="185" t="s">
        <v>65</v>
      </c>
      <c r="S30" s="185"/>
      <c r="T30" s="32"/>
    </row>
    <row r="31" spans="1:20" x14ac:dyDescent="0.3">
      <c r="A31" s="87" t="s">
        <v>5</v>
      </c>
      <c r="B31" s="88">
        <f>0.267/0.85</f>
        <v>0.31411764705882356</v>
      </c>
      <c r="C31" s="91" t="s">
        <v>12</v>
      </c>
      <c r="D31" s="37"/>
      <c r="E31" s="43" t="s">
        <v>35</v>
      </c>
      <c r="F31" s="58">
        <f>H34^2*F29</f>
        <v>1.7738121643621291E-2</v>
      </c>
      <c r="G31" s="37" t="s">
        <v>2</v>
      </c>
      <c r="H31" s="203">
        <f>(B28+B29*B32+B29*F29)*(1-(B28+B29*B32)/(B27+B29*B32-B29*(B31+F29)))/(0.000001*F28*1000*F30)</f>
        <v>0.15501545172853573</v>
      </c>
      <c r="I31" s="203"/>
      <c r="J31" s="32"/>
      <c r="K31" s="137" t="s">
        <v>5</v>
      </c>
      <c r="L31" s="138">
        <f>0.233/0.85</f>
        <v>0.27411764705882358</v>
      </c>
      <c r="M31" s="141" t="s">
        <v>12</v>
      </c>
      <c r="N31" s="39"/>
      <c r="O31" s="44" t="s">
        <v>35</v>
      </c>
      <c r="P31" s="57">
        <f>R34^2*P29</f>
        <v>9.5214732231873756E-3</v>
      </c>
      <c r="Q31" s="39" t="s">
        <v>2</v>
      </c>
      <c r="R31" s="188">
        <f>(L28+L29*L32+L29*P29)*(1-(L28+L29*L32)/(L27+L29*L32-L29*(L31+P29)))/(0.000001*P28*1000*P30)</f>
        <v>0.35615841343179244</v>
      </c>
      <c r="S31" s="188"/>
      <c r="T31" s="32"/>
    </row>
    <row r="32" spans="1:20" x14ac:dyDescent="0.3">
      <c r="A32" s="87" t="s">
        <v>6</v>
      </c>
      <c r="B32" s="88">
        <f>0.205/0.85</f>
        <v>0.2411764705882353</v>
      </c>
      <c r="C32" s="91" t="s">
        <v>12</v>
      </c>
      <c r="D32" s="37"/>
      <c r="E32" s="87" t="s">
        <v>15</v>
      </c>
      <c r="F32" s="88">
        <f>(F27*H34^2*B31)+((1-F27)*H34^2*B32)</f>
        <v>0.10331455112415175</v>
      </c>
      <c r="G32" s="89" t="s">
        <v>2</v>
      </c>
      <c r="H32" s="37"/>
      <c r="I32" s="37"/>
      <c r="J32" s="32"/>
      <c r="K32" s="137" t="s">
        <v>6</v>
      </c>
      <c r="L32" s="138">
        <f>0.205/0.85</f>
        <v>0.2411764705882353</v>
      </c>
      <c r="M32" s="141" t="s">
        <v>12</v>
      </c>
      <c r="N32" s="39"/>
      <c r="O32" s="137" t="s">
        <v>15</v>
      </c>
      <c r="P32" s="142">
        <f>(P27*R34^2*L31)+((1-P27)*R34^2*L32)</f>
        <v>0.1357477444450424</v>
      </c>
      <c r="Q32" s="139" t="s">
        <v>2</v>
      </c>
      <c r="R32" s="39"/>
      <c r="S32" s="39"/>
      <c r="T32" s="32"/>
    </row>
    <row r="33" spans="1:20" x14ac:dyDescent="0.3">
      <c r="A33" s="87" t="s">
        <v>7</v>
      </c>
      <c r="B33" s="92">
        <v>3</v>
      </c>
      <c r="C33" s="91" t="s">
        <v>34</v>
      </c>
      <c r="D33" s="37"/>
      <c r="E33" s="87" t="s">
        <v>14</v>
      </c>
      <c r="F33" s="88">
        <f>B27*H37*((B33+B34)*0.000000001)*(F30*1000)</f>
        <v>2.5711418196548968E-2</v>
      </c>
      <c r="G33" s="89" t="s">
        <v>2</v>
      </c>
      <c r="H33" s="179" t="s">
        <v>40</v>
      </c>
      <c r="I33" s="179"/>
      <c r="J33" s="32"/>
      <c r="K33" s="137" t="s">
        <v>7</v>
      </c>
      <c r="L33" s="138">
        <v>3</v>
      </c>
      <c r="M33" s="141" t="s">
        <v>34</v>
      </c>
      <c r="N33" s="39"/>
      <c r="O33" s="137" t="s">
        <v>14</v>
      </c>
      <c r="P33" s="142">
        <f>L27*R37*((L33+L34)*0.000000001)*(P30*1000)</f>
        <v>3.4082105894868257E-2</v>
      </c>
      <c r="Q33" s="139" t="s">
        <v>2</v>
      </c>
      <c r="R33" s="185" t="s">
        <v>40</v>
      </c>
      <c r="S33" s="185"/>
      <c r="T33" s="32"/>
    </row>
    <row r="34" spans="1:20" x14ac:dyDescent="0.3">
      <c r="A34" s="87" t="s">
        <v>8</v>
      </c>
      <c r="B34" s="92">
        <v>2</v>
      </c>
      <c r="C34" s="91" t="s">
        <v>34</v>
      </c>
      <c r="D34" s="21"/>
      <c r="E34" s="87" t="s">
        <v>16</v>
      </c>
      <c r="F34" s="88">
        <f>B27*B30</f>
        <v>1.32E-2</v>
      </c>
      <c r="G34" s="89" t="s">
        <v>2</v>
      </c>
      <c r="H34" s="178">
        <f>SQRT(B29^2+H31^2/12)</f>
        <v>0.60166642130243853</v>
      </c>
      <c r="I34" s="178"/>
      <c r="J34" s="32"/>
      <c r="K34" s="137" t="s">
        <v>8</v>
      </c>
      <c r="L34" s="138">
        <v>2</v>
      </c>
      <c r="M34" s="141" t="s">
        <v>34</v>
      </c>
      <c r="N34" s="39"/>
      <c r="O34" s="137" t="s">
        <v>16</v>
      </c>
      <c r="P34" s="142">
        <f>L27*L30</f>
        <v>1.32E-2</v>
      </c>
      <c r="Q34" s="139" t="s">
        <v>2</v>
      </c>
      <c r="R34" s="186">
        <f>SQRT(L29^2+R31^2/12)</f>
        <v>0.72730374302730005</v>
      </c>
      <c r="S34" s="186"/>
      <c r="T34" s="32"/>
    </row>
    <row r="35" spans="1:20" x14ac:dyDescent="0.3">
      <c r="A35" s="182" t="s">
        <v>59</v>
      </c>
      <c r="B35" s="182"/>
      <c r="C35" s="21"/>
      <c r="D35" s="37"/>
      <c r="E35" s="43" t="str">
        <f>IF(D37=TRUE,"Pdiode","")</f>
        <v/>
      </c>
      <c r="F35" s="58" t="str">
        <f>IF(D37=TRUE,IF((B37+((B38-B37)*B32*(B29-0.2)-(B38-B37)*B37)/(0.8*B32+(B38-B37)))&lt;B29*B32,(1-F27)*((B37+((B38-B37)*B32*(B29-0.2)-(B38-B37)*B37)/(0.8*B32+(B38-B37)))*B29-(B37+((B38-B37)*B32*(B29-0.2)-(B38-B37)*B37)/(0.8*B32+(B38-B37)))^2/B32)+3.3*F27*B41,3.3*F27*B41),"")</f>
        <v/>
      </c>
      <c r="G35" s="37" t="str">
        <f>IF(D37=TRUE,"W","")</f>
        <v/>
      </c>
      <c r="H35" s="37"/>
      <c r="I35" s="37"/>
      <c r="J35" s="32"/>
      <c r="K35" s="143" t="s">
        <v>60</v>
      </c>
      <c r="L35" s="143"/>
      <c r="M35" s="23"/>
      <c r="N35" s="39"/>
      <c r="O35" s="44" t="str">
        <f>IF(N37=TRUE,"Pdiode","")</f>
        <v/>
      </c>
      <c r="P35" s="57" t="str">
        <f>IF(N37=TRUE,IF((L37+((L38-L37)*L32*(L29-0.2)-(L38-L37)*L37)/(0.8*L32+(L38-L37)))&lt;L29*L32,(1-P27)*((L37+((L38-L37)*L32*(L29-0.2)-(L38-L37)*L37)/(0.8*L32+(L38-L37)))*L29-(L37+((L38-L37)*L32*(L29-0.2)-(L38-L37)*L37)/(0.8*L32+(L38-L37)))^2/L32)+3.3*P27*L41,3.3*P27*L41),"")</f>
        <v/>
      </c>
      <c r="Q35" s="39" t="str">
        <f>IF(N37=TRUE,"W","")</f>
        <v/>
      </c>
      <c r="R35" s="39"/>
      <c r="S35" s="39"/>
      <c r="T35" s="32"/>
    </row>
    <row r="36" spans="1:20" x14ac:dyDescent="0.3">
      <c r="A36" s="93" t="str">
        <f>IF(D37=TRUE,"      NRVBM110L recommended","")</f>
        <v/>
      </c>
      <c r="B36" s="93"/>
      <c r="C36" s="37"/>
      <c r="D36" s="37"/>
      <c r="E36" s="87" t="s">
        <v>44</v>
      </c>
      <c r="F36" s="88">
        <f>F33+F32</f>
        <v>0.12902596932070071</v>
      </c>
      <c r="G36" s="89" t="s">
        <v>2</v>
      </c>
      <c r="H36" s="179" t="s">
        <v>39</v>
      </c>
      <c r="I36" s="179"/>
      <c r="J36" s="35"/>
      <c r="K36" s="144" t="str">
        <f>IF(N37=TRUE,"      NRVBM110L recommended","")</f>
        <v/>
      </c>
      <c r="L36" s="144"/>
      <c r="M36" s="23"/>
      <c r="N36" s="39"/>
      <c r="O36" s="137" t="s">
        <v>44</v>
      </c>
      <c r="P36" s="142">
        <f>P33+P32</f>
        <v>0.16982985033991066</v>
      </c>
      <c r="Q36" s="139" t="s">
        <v>2</v>
      </c>
      <c r="R36" s="185" t="s">
        <v>39</v>
      </c>
      <c r="S36" s="185"/>
      <c r="T36" s="32"/>
    </row>
    <row r="37" spans="1:20" x14ac:dyDescent="0.3">
      <c r="A37" s="87" t="str">
        <f>IF(D37=TRUE,"Vdiode at I_AK = 0.2A","")</f>
        <v/>
      </c>
      <c r="B37" s="92" t="str">
        <f>IF(D37=TRUE,0.19,"")</f>
        <v/>
      </c>
      <c r="C37" s="89" t="str">
        <f>IF(D37=TRUE,"V","")</f>
        <v/>
      </c>
      <c r="D37" s="95" t="b">
        <v>0</v>
      </c>
      <c r="E37" s="21"/>
      <c r="F37" s="22"/>
      <c r="G37" s="21"/>
      <c r="H37" s="178">
        <f>B29+H31/2</f>
        <v>0.67750772586426788</v>
      </c>
      <c r="I37" s="178"/>
      <c r="J37" s="32"/>
      <c r="K37" s="137" t="str">
        <f>IF(N37=TRUE,"Vdiode at I_AK = 0.2A","")</f>
        <v/>
      </c>
      <c r="L37" s="138" t="str">
        <f>IF(N37=TRUE,0.19,"")</f>
        <v/>
      </c>
      <c r="M37" s="139" t="str">
        <f>IF(N37=TRUE,"V","")</f>
        <v/>
      </c>
      <c r="N37" s="146" t="b">
        <v>0</v>
      </c>
      <c r="O37" s="23"/>
      <c r="P37" s="23"/>
      <c r="Q37" s="23"/>
      <c r="R37" s="186">
        <f>L29+R31/2</f>
        <v>0.89807920671589625</v>
      </c>
      <c r="S37" s="186"/>
      <c r="T37" s="32"/>
    </row>
    <row r="38" spans="1:20" x14ac:dyDescent="0.3">
      <c r="A38" s="87" t="str">
        <f>IF(D37=TRUE,"Vdiode at I_AK = 1.0A","")</f>
        <v/>
      </c>
      <c r="B38" s="92" t="str">
        <f>IF(D37=TRUE,0.27,"")</f>
        <v/>
      </c>
      <c r="C38" s="89" t="str">
        <f>IF(D37=TRUE,"V","")</f>
        <v/>
      </c>
      <c r="D38" s="37"/>
      <c r="E38" s="175" t="s">
        <v>48</v>
      </c>
      <c r="F38" s="176"/>
      <c r="G38" s="177"/>
      <c r="H38" s="37"/>
      <c r="I38" s="37"/>
      <c r="J38" s="35"/>
      <c r="K38" s="137" t="str">
        <f>IF(N37=TRUE,"Vdiode at I_AK = 1.0A","")</f>
        <v/>
      </c>
      <c r="L38" s="139" t="str">
        <f>IF(N37=TRUE,0.27,"")</f>
        <v/>
      </c>
      <c r="M38" s="139" t="str">
        <f>IF(N37=TRUE,"V","")</f>
        <v/>
      </c>
      <c r="N38" s="39"/>
      <c r="O38" s="165" t="s">
        <v>49</v>
      </c>
      <c r="P38" s="166"/>
      <c r="Q38" s="167"/>
      <c r="R38" s="39"/>
      <c r="S38" s="39"/>
      <c r="T38" s="32"/>
    </row>
    <row r="39" spans="1:20" x14ac:dyDescent="0.3">
      <c r="A39" s="87" t="str">
        <f>IF(D37=TRUE,"Cdiode at V_AK = 0.5V","")</f>
        <v/>
      </c>
      <c r="B39" s="89" t="str">
        <f>IF(D37=TRUE,300,"")</f>
        <v/>
      </c>
      <c r="C39" s="89" t="str">
        <f>IF(D37=TRUE,"pF","")</f>
        <v/>
      </c>
      <c r="D39" s="37"/>
      <c r="E39" s="96" t="s">
        <v>58</v>
      </c>
      <c r="F39" s="97">
        <f>F36+F34</f>
        <v>0.1422259693207007</v>
      </c>
      <c r="G39" s="98" t="s">
        <v>2</v>
      </c>
      <c r="H39" s="37"/>
      <c r="I39" s="37"/>
      <c r="J39" s="35"/>
      <c r="K39" s="158" t="str">
        <f>IF(N37=TRUE,"Cdiode at V_AK = 0.5V","")</f>
        <v/>
      </c>
      <c r="L39" s="159" t="str">
        <f>IF(N37=TRUE,300,"")</f>
        <v/>
      </c>
      <c r="M39" s="160" t="str">
        <f>IF(N37=TRUE,"pF","")</f>
        <v/>
      </c>
      <c r="N39" s="39"/>
      <c r="O39" s="147" t="s">
        <v>58</v>
      </c>
      <c r="P39" s="148">
        <f>P36+P34</f>
        <v>0.18302985033991065</v>
      </c>
      <c r="Q39" s="149" t="s">
        <v>2</v>
      </c>
      <c r="R39" s="39"/>
      <c r="S39" s="39"/>
      <c r="T39" s="32"/>
    </row>
    <row r="40" spans="1:20" x14ac:dyDescent="0.3">
      <c r="A40" s="87" t="str">
        <f>IF(D37=TRUE,"Cdiode at V_AK = 1.5V","")</f>
        <v/>
      </c>
      <c r="B40" s="89" t="str">
        <f>IF(D37=TRUE,220,"")</f>
        <v/>
      </c>
      <c r="C40" s="89" t="str">
        <f>IF(D37=TRUE,"pF","")</f>
        <v/>
      </c>
      <c r="D40" s="37"/>
      <c r="E40" s="99" t="str">
        <f>IF(D37=TRUE,"With Diode","")</f>
        <v/>
      </c>
      <c r="F40" s="100" t="str">
        <f>IF(D37=TRUE,(F27*(H34+B41)^2*B31)+((1-F27)*IF((B37+((B38-B37)*B32*(B29-0.2)-(B38-B37)*B37)/(0.8*B32+(B38-B37)))&lt;B29*B32,(B37+((B38-B37)*B32*(B29-0.2)-(B38-B37)*B37)/(0.8*B32+(B38-B37))),B29*B32)^2/B32)+F33+F34+5/4*0.000000000001*(B39+B40)/2*(3.3/4)*(3/4*3.3)*1000*F30,"")</f>
        <v/>
      </c>
      <c r="G40" s="101" t="str">
        <f>IF(D37=TRUE,"W","")</f>
        <v/>
      </c>
      <c r="H40" s="37"/>
      <c r="I40" s="37"/>
      <c r="J40" s="35"/>
      <c r="K40" s="158" t="str">
        <f>IF(N37=TRUE,"Cdiode at V_AK = 1.5V","")</f>
        <v/>
      </c>
      <c r="L40" s="160" t="str">
        <f>IF(N37=TRUE,220,"")</f>
        <v/>
      </c>
      <c r="M40" s="160" t="str">
        <f>IF(N37=TRUE,"pF","")</f>
        <v/>
      </c>
      <c r="N40" s="39"/>
      <c r="O40" s="150" t="str">
        <f>IF(N37=TRUE,"With Diode","")</f>
        <v/>
      </c>
      <c r="P40" s="151" t="str">
        <f>IF(N37=TRUE,(P27*(R34+L41)^2*L31)+((1-P27)*IF((L37+((L38-L37)*L32*(L29-0.2)-(L38-L37)*L37)/(0.8*L32+(L38-L37)))&lt;L29*L32,(L37+((L38-L37)*L32*(L29-0.2)-(L38-L37)*L37)/(0.8*L32+(L38-L37))),L29*L32)^2/L32)+P33+P34+5/4*0.000000000001*(L39+L40)/2*(3.3/4)*(3/4*3.3)*1000*P30,"")</f>
        <v/>
      </c>
      <c r="Q40" s="152" t="str">
        <f>IF(N37=TRUE,"W","")</f>
        <v/>
      </c>
      <c r="R40" s="39"/>
      <c r="S40" s="39"/>
      <c r="T40" s="32"/>
    </row>
    <row r="41" spans="1:20" x14ac:dyDescent="0.3">
      <c r="A41" s="87" t="str">
        <f>IF(D37=TRUE,"125C diode Ir at V_AK = 3.3V","")</f>
        <v/>
      </c>
      <c r="B41" s="88" t="str">
        <f>IF(D37=TRUE,0.08,"")</f>
        <v/>
      </c>
      <c r="C41" s="89" t="str">
        <f>IF(D37=TRUE,"A","")</f>
        <v/>
      </c>
      <c r="D41" s="37"/>
      <c r="E41" s="43"/>
      <c r="F41" s="58"/>
      <c r="G41" s="37"/>
      <c r="H41" s="37"/>
      <c r="I41" s="37"/>
      <c r="J41" s="35"/>
      <c r="K41" s="137" t="str">
        <f>IF(N37=TRUE,"125C diode Ir at V_AK = 3.3V","")</f>
        <v/>
      </c>
      <c r="L41" s="142" t="str">
        <f>IF(N37=TRUE,0.08,"")</f>
        <v/>
      </c>
      <c r="M41" s="139" t="str">
        <f>IF(N37=TRUE,"A","")</f>
        <v/>
      </c>
      <c r="N41" s="39"/>
      <c r="O41" s="44"/>
      <c r="P41" s="57"/>
      <c r="Q41" s="39"/>
      <c r="R41" s="39"/>
      <c r="S41" s="39"/>
      <c r="T41" s="32"/>
    </row>
    <row r="42" spans="1:20" x14ac:dyDescent="0.3">
      <c r="A42" s="94"/>
      <c r="B42" s="90"/>
      <c r="C42" s="37"/>
      <c r="D42" s="37"/>
      <c r="E42" s="43" t="str">
        <f>IF(D37=TRUE,"Total SW2 Input Power w/Diode","Total SW2 Input Power")</f>
        <v>Total SW2 Input Power</v>
      </c>
      <c r="F42" s="58">
        <f>IF(D37=TRUE,(B28*B29)+F35+F40+F31,(B28*B29)+F39+F31)</f>
        <v>1.2399640909643219</v>
      </c>
      <c r="G42" s="37" t="s">
        <v>2</v>
      </c>
      <c r="H42" s="37"/>
      <c r="I42" s="37"/>
      <c r="J42" s="32"/>
      <c r="K42" s="145"/>
      <c r="L42" s="140"/>
      <c r="M42" s="39"/>
      <c r="N42" s="39"/>
      <c r="O42" s="44" t="str">
        <f>IF(N37=TRUE,"Total SW3 Input Power w/Diode","Total SW3 Input Power")</f>
        <v>Total SW3 Input Power</v>
      </c>
      <c r="P42" s="57">
        <f>IF(N37=TRUE,(L28*L29)+P35+P40+P31,(L28*L29)+P39+P31)</f>
        <v>1.164551323563098</v>
      </c>
      <c r="Q42" s="39" t="s">
        <v>2</v>
      </c>
      <c r="R42" s="39"/>
      <c r="S42" s="39"/>
      <c r="T42" s="32"/>
    </row>
    <row r="43" spans="1:20" x14ac:dyDescent="0.3">
      <c r="A43" s="32"/>
      <c r="B43" s="33"/>
      <c r="C43" s="32"/>
      <c r="D43" s="32"/>
      <c r="E43" s="32"/>
      <c r="F43" s="34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</row>
    <row r="44" spans="1:20" x14ac:dyDescent="0.3">
      <c r="A44" s="181" t="s">
        <v>30</v>
      </c>
      <c r="B44" s="181"/>
      <c r="C44" s="181"/>
      <c r="D44" s="181"/>
      <c r="E44" s="181"/>
      <c r="F44" s="181"/>
      <c r="G44" s="181"/>
      <c r="H44" s="41"/>
      <c r="I44" s="41"/>
      <c r="J44" s="35"/>
      <c r="K44" s="32"/>
      <c r="L44" s="32"/>
      <c r="M44" s="32"/>
      <c r="N44" s="40"/>
      <c r="O44" s="32"/>
      <c r="P44" s="32"/>
      <c r="Q44" s="32"/>
      <c r="R44" s="32"/>
      <c r="S44" s="32"/>
      <c r="T44" s="32"/>
    </row>
    <row r="45" spans="1:20" ht="15" thickBot="1" x14ac:dyDescent="0.35">
      <c r="A45" s="102" t="s">
        <v>18</v>
      </c>
      <c r="B45" s="103">
        <v>3.3</v>
      </c>
      <c r="C45" s="104" t="s">
        <v>1</v>
      </c>
      <c r="D45" s="105"/>
      <c r="E45" s="106" t="s">
        <v>4</v>
      </c>
      <c r="F45" s="107">
        <f>(5-B45+B53)/(5+B53-(B46*(B48+F47)))</f>
        <v>0.386376375646798</v>
      </c>
      <c r="G45" s="105"/>
      <c r="H45" s="105"/>
      <c r="I45" s="105"/>
      <c r="J45" s="35"/>
      <c r="K45" s="32"/>
      <c r="L45" s="32"/>
      <c r="M45" s="32"/>
      <c r="N45" s="40"/>
      <c r="O45" s="32"/>
      <c r="P45" s="32"/>
      <c r="Q45" s="32"/>
      <c r="R45" s="32"/>
      <c r="S45" s="32"/>
      <c r="T45" s="32"/>
    </row>
    <row r="46" spans="1:20" ht="15" thickBot="1" x14ac:dyDescent="0.35">
      <c r="A46" s="106" t="s">
        <v>41</v>
      </c>
      <c r="B46" s="109">
        <v>4.5999999999999999E-2</v>
      </c>
      <c r="C46" s="110" t="s">
        <v>3</v>
      </c>
      <c r="D46" s="105"/>
      <c r="E46" s="111" t="s">
        <v>37</v>
      </c>
      <c r="F46" s="163">
        <v>4.7</v>
      </c>
      <c r="G46" s="112" t="s">
        <v>38</v>
      </c>
      <c r="H46" s="108"/>
      <c r="I46" s="105"/>
      <c r="J46" s="32"/>
      <c r="K46" s="32"/>
      <c r="L46" s="32"/>
      <c r="M46" s="32"/>
      <c r="N46" s="40"/>
      <c r="O46" s="32"/>
      <c r="P46" s="32"/>
      <c r="Q46" s="32"/>
      <c r="R46" s="32"/>
      <c r="S46" s="32"/>
      <c r="T46" s="32"/>
    </row>
    <row r="47" spans="1:20" ht="15" thickBot="1" x14ac:dyDescent="0.35">
      <c r="A47" s="106"/>
      <c r="B47" s="126"/>
      <c r="C47" s="105"/>
      <c r="D47" s="105"/>
      <c r="E47" s="114" t="s">
        <v>20</v>
      </c>
      <c r="F47" s="109">
        <v>0.217</v>
      </c>
      <c r="G47" s="115" t="s">
        <v>12</v>
      </c>
      <c r="H47" s="113"/>
      <c r="I47" s="113"/>
      <c r="J47" s="32"/>
      <c r="K47" s="32"/>
      <c r="M47" s="32"/>
      <c r="N47" s="55"/>
      <c r="O47" s="32"/>
      <c r="P47" s="32"/>
      <c r="Q47" s="32"/>
      <c r="R47" s="32"/>
      <c r="S47" s="32"/>
      <c r="T47" s="32"/>
    </row>
    <row r="48" spans="1:20" x14ac:dyDescent="0.3">
      <c r="A48" s="116" t="s">
        <v>22</v>
      </c>
      <c r="B48" s="117">
        <f>0.634/0.85</f>
        <v>0.74588235294117655</v>
      </c>
      <c r="C48" s="118" t="s">
        <v>12</v>
      </c>
      <c r="D48" s="123"/>
      <c r="E48" s="106" t="s">
        <v>9</v>
      </c>
      <c r="F48" s="122">
        <f>IF(B8&gt;18.9,1000,2300)</f>
        <v>2300</v>
      </c>
      <c r="G48" s="105" t="s">
        <v>33</v>
      </c>
      <c r="H48" s="170" t="s">
        <v>65</v>
      </c>
      <c r="I48" s="170"/>
      <c r="J48" s="32"/>
      <c r="K48" s="32"/>
      <c r="L48" s="32"/>
      <c r="M48" s="32"/>
      <c r="N48" s="55"/>
      <c r="O48" s="32"/>
      <c r="P48" s="32"/>
      <c r="Q48" s="32"/>
      <c r="R48" s="32"/>
      <c r="S48" s="32"/>
      <c r="T48" s="32"/>
    </row>
    <row r="49" spans="1:20" x14ac:dyDescent="0.3">
      <c r="A49" s="116" t="s">
        <v>7</v>
      </c>
      <c r="B49" s="117">
        <v>5</v>
      </c>
      <c r="C49" s="118" t="s">
        <v>34</v>
      </c>
      <c r="D49" s="105"/>
      <c r="E49" s="106" t="s">
        <v>35</v>
      </c>
      <c r="F49" s="107">
        <f>H52^2*F47</f>
        <v>7.0312511214768846E-4</v>
      </c>
      <c r="G49" s="105" t="s">
        <v>2</v>
      </c>
      <c r="H49" s="169">
        <f>(B45-B46*(B48+F47))*(5+B53-B45)/(5+B53-B46*B48)/(0.000001*F46*1000*F48)</f>
        <v>0.11614858880321435</v>
      </c>
      <c r="I49" s="169"/>
      <c r="J49" s="32"/>
      <c r="K49" s="32"/>
      <c r="L49" s="32"/>
      <c r="M49" s="32"/>
      <c r="N49" s="55"/>
      <c r="O49" s="32"/>
      <c r="P49" s="32"/>
      <c r="Q49" s="32"/>
      <c r="R49" s="32"/>
      <c r="S49" s="32"/>
      <c r="T49" s="32"/>
    </row>
    <row r="50" spans="1:20" x14ac:dyDescent="0.3">
      <c r="A50" s="116" t="s">
        <v>8</v>
      </c>
      <c r="B50" s="117">
        <v>2</v>
      </c>
      <c r="C50" s="118" t="s">
        <v>34</v>
      </c>
      <c r="D50" s="105"/>
      <c r="E50" s="119" t="s">
        <v>15</v>
      </c>
      <c r="F50" s="120">
        <f>(F45*SQRT(B46^2+H49^2/12)^2*B48)</f>
        <v>9.3379978952719451E-4</v>
      </c>
      <c r="G50" s="121" t="s">
        <v>2</v>
      </c>
      <c r="H50" s="123"/>
      <c r="I50" s="123"/>
      <c r="J50" s="32"/>
      <c r="K50" s="32"/>
      <c r="L50" s="32"/>
      <c r="M50" s="32"/>
      <c r="N50" s="32"/>
      <c r="O50" s="32"/>
      <c r="P50" s="32"/>
      <c r="Q50" s="171"/>
      <c r="R50" s="171"/>
      <c r="S50" s="171"/>
      <c r="T50" s="32"/>
    </row>
    <row r="51" spans="1:20" x14ac:dyDescent="0.3">
      <c r="A51" s="123"/>
      <c r="B51" s="126"/>
      <c r="C51" s="123"/>
      <c r="D51" s="105"/>
      <c r="E51" s="119" t="s">
        <v>14</v>
      </c>
      <c r="F51" s="120">
        <f>0.5*B45*B46*((B49+B50)*0.000000001)*(F48*1000)</f>
        <v>1.2219900000000001E-3</v>
      </c>
      <c r="G51" s="121" t="s">
        <v>2</v>
      </c>
      <c r="H51" s="168" t="s">
        <v>40</v>
      </c>
      <c r="I51" s="168"/>
      <c r="J51" s="32"/>
      <c r="L51" s="32"/>
      <c r="M51" s="32"/>
      <c r="N51" s="32"/>
      <c r="O51" s="32"/>
      <c r="P51" s="32"/>
      <c r="Q51" s="32"/>
      <c r="R51" s="32"/>
      <c r="S51" s="32"/>
      <c r="T51" s="32"/>
    </row>
    <row r="52" spans="1:20" ht="15" thickBot="1" x14ac:dyDescent="0.35">
      <c r="A52" s="119" t="s">
        <v>10</v>
      </c>
      <c r="B52" s="124">
        <v>4.0000000000000001E-3</v>
      </c>
      <c r="C52" s="121" t="s">
        <v>3</v>
      </c>
      <c r="D52" s="123"/>
      <c r="E52" s="119" t="s">
        <v>16</v>
      </c>
      <c r="F52" s="120">
        <f>B45*B52</f>
        <v>1.32E-2</v>
      </c>
      <c r="G52" s="121" t="s">
        <v>2</v>
      </c>
      <c r="H52" s="169">
        <f>SQRT(B46^2+H49^2/12)</f>
        <v>5.6922823981962752E-2</v>
      </c>
      <c r="I52" s="169"/>
      <c r="J52" s="32"/>
      <c r="K52" s="32"/>
      <c r="L52" s="35"/>
      <c r="M52" s="32"/>
      <c r="N52" s="32"/>
      <c r="P52" s="32"/>
      <c r="Q52" s="32"/>
      <c r="R52" s="32"/>
      <c r="S52" s="32"/>
      <c r="T52" s="32"/>
    </row>
    <row r="53" spans="1:20" ht="15" thickBot="1" x14ac:dyDescent="0.35">
      <c r="A53" s="106" t="s">
        <v>11</v>
      </c>
      <c r="B53" s="125">
        <v>0.35</v>
      </c>
      <c r="C53" s="110" t="s">
        <v>1</v>
      </c>
      <c r="D53" s="105"/>
      <c r="E53" s="106" t="s">
        <v>17</v>
      </c>
      <c r="F53" s="107">
        <f>(1-F45)*B53*B46</f>
        <v>9.879340352086553E-3</v>
      </c>
      <c r="G53" s="105" t="s">
        <v>2</v>
      </c>
      <c r="H53" s="105"/>
      <c r="I53" s="105"/>
      <c r="J53" s="32"/>
      <c r="K53" s="32"/>
      <c r="L53" s="35"/>
      <c r="M53" s="32"/>
      <c r="N53" s="32"/>
      <c r="P53" s="32"/>
      <c r="Q53" s="32"/>
      <c r="R53" s="32"/>
      <c r="S53" s="32"/>
      <c r="T53" s="32"/>
    </row>
    <row r="54" spans="1:20" x14ac:dyDescent="0.3">
      <c r="A54" s="123"/>
      <c r="B54" s="126"/>
      <c r="C54" s="123"/>
      <c r="D54" s="105"/>
      <c r="E54" s="119" t="s">
        <v>44</v>
      </c>
      <c r="F54" s="120">
        <f>F51+F50</f>
        <v>2.1557897895271945E-3</v>
      </c>
      <c r="G54" s="121" t="s">
        <v>2</v>
      </c>
      <c r="H54" s="168" t="s">
        <v>39</v>
      </c>
      <c r="I54" s="168"/>
      <c r="J54" s="32"/>
      <c r="K54" s="32"/>
      <c r="L54" s="35"/>
      <c r="M54" s="32"/>
      <c r="N54" s="32"/>
      <c r="P54" s="32"/>
      <c r="Q54" s="32"/>
      <c r="R54" s="32"/>
      <c r="S54" s="32"/>
      <c r="T54" s="32"/>
    </row>
    <row r="55" spans="1:20" x14ac:dyDescent="0.3">
      <c r="A55" s="123"/>
      <c r="B55" s="126"/>
      <c r="C55" s="123"/>
      <c r="D55" s="105"/>
      <c r="E55" s="127" t="s">
        <v>64</v>
      </c>
      <c r="F55" s="128">
        <f>F54+F52</f>
        <v>1.5355789789527195E-2</v>
      </c>
      <c r="G55" s="129" t="s">
        <v>2</v>
      </c>
      <c r="H55" s="169">
        <f>B46+H49/2</f>
        <v>0.10407429440160718</v>
      </c>
      <c r="I55" s="169"/>
      <c r="J55" s="32"/>
      <c r="K55" s="32"/>
      <c r="L55" s="40"/>
      <c r="M55" s="32"/>
      <c r="N55" s="32"/>
      <c r="O55" s="32"/>
      <c r="P55" s="32"/>
      <c r="Q55" s="32"/>
      <c r="R55" s="32"/>
      <c r="S55" s="32"/>
      <c r="T55" s="32"/>
    </row>
    <row r="56" spans="1:20" x14ac:dyDescent="0.3">
      <c r="A56" s="123"/>
      <c r="B56" s="126"/>
      <c r="C56" s="123"/>
      <c r="D56" s="105"/>
      <c r="E56" s="106" t="s">
        <v>66</v>
      </c>
      <c r="F56" s="107">
        <f>(5*B46)+F55+F53+F49</f>
        <v>0.25593825525376146</v>
      </c>
      <c r="G56" s="105" t="s">
        <v>2</v>
      </c>
      <c r="H56" s="105"/>
      <c r="I56" s="105"/>
      <c r="J56" s="32"/>
      <c r="O56" s="32"/>
      <c r="P56" s="32"/>
      <c r="Q56" s="32"/>
      <c r="R56" s="32"/>
      <c r="S56" s="32"/>
      <c r="T56" s="32"/>
    </row>
    <row r="57" spans="1:20" x14ac:dyDescent="0.3">
      <c r="A57" s="52"/>
      <c r="B57" s="54"/>
      <c r="C57" s="53"/>
      <c r="D57" s="53"/>
      <c r="H57" s="53"/>
      <c r="I57" s="53"/>
      <c r="J57" s="32"/>
      <c r="K57" s="32"/>
      <c r="L57" s="20"/>
      <c r="O57" s="32"/>
      <c r="P57" s="35"/>
      <c r="Q57" s="32"/>
      <c r="R57" s="32"/>
      <c r="S57" s="32"/>
      <c r="T57" s="32"/>
    </row>
    <row r="58" spans="1:20" x14ac:dyDescent="0.3">
      <c r="A58" s="52"/>
      <c r="B58" s="54"/>
      <c r="C58" s="53"/>
      <c r="D58" s="53"/>
      <c r="H58" s="53"/>
      <c r="I58" s="53"/>
      <c r="J58" s="32"/>
      <c r="K58" s="32"/>
      <c r="L58" s="35"/>
      <c r="M58" s="32"/>
      <c r="N58" s="32"/>
      <c r="O58" s="32"/>
      <c r="P58" s="35"/>
      <c r="Q58" s="32"/>
      <c r="R58" s="32"/>
      <c r="S58" s="32"/>
      <c r="T58" s="32"/>
    </row>
    <row r="59" spans="1:20" x14ac:dyDescent="0.3">
      <c r="A59" s="32"/>
      <c r="B59" s="33"/>
      <c r="C59" s="32"/>
      <c r="D59" s="32"/>
      <c r="E59" s="32"/>
      <c r="F59" s="34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</row>
  </sheetData>
  <sheetProtection algorithmName="SHA-512" hashValue="xXJUhAFHLGukvkgeP3C0fUiXSvVzqeTaYOGtu07mmFzo+AvUgqPjLMrYyh5QL22fvxXXgV04mTqDBbdAnYXG0A==" saltValue="TEdXwhD9wIlE8CTqSCvNLg==" spinCount="100000" sheet="1" objects="1" scenarios="1" selectLockedCells="1"/>
  <mergeCells count="44">
    <mergeCell ref="L1:M1"/>
    <mergeCell ref="R31:S31"/>
    <mergeCell ref="H2:J2"/>
    <mergeCell ref="H3:J3"/>
    <mergeCell ref="O3:P3"/>
    <mergeCell ref="O1:P1"/>
    <mergeCell ref="O2:P2"/>
    <mergeCell ref="H21:I21"/>
    <mergeCell ref="H22:I22"/>
    <mergeCell ref="H23:I23"/>
    <mergeCell ref="H20:I20"/>
    <mergeCell ref="H30:I30"/>
    <mergeCell ref="H31:I31"/>
    <mergeCell ref="H10:I10"/>
    <mergeCell ref="K26:Q26"/>
    <mergeCell ref="H16:I16"/>
    <mergeCell ref="R33:S33"/>
    <mergeCell ref="R34:S34"/>
    <mergeCell ref="R36:S36"/>
    <mergeCell ref="R37:S37"/>
    <mergeCell ref="R30:S30"/>
    <mergeCell ref="H13:I13"/>
    <mergeCell ref="H14:I14"/>
    <mergeCell ref="H17:I17"/>
    <mergeCell ref="A11:C11"/>
    <mergeCell ref="H11:I11"/>
    <mergeCell ref="E18:G18"/>
    <mergeCell ref="E21:G21"/>
    <mergeCell ref="H52:I52"/>
    <mergeCell ref="E38:G38"/>
    <mergeCell ref="H34:I34"/>
    <mergeCell ref="H37:I37"/>
    <mergeCell ref="H33:I33"/>
    <mergeCell ref="H36:I36"/>
    <mergeCell ref="H51:I51"/>
    <mergeCell ref="A26:G26"/>
    <mergeCell ref="A44:G44"/>
    <mergeCell ref="A35:B35"/>
    <mergeCell ref="O38:Q38"/>
    <mergeCell ref="H54:I54"/>
    <mergeCell ref="H55:I55"/>
    <mergeCell ref="H48:I48"/>
    <mergeCell ref="H49:I49"/>
    <mergeCell ref="Q50:S50"/>
  </mergeCell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Visio.Drawing.11" shapeId="1044" r:id="rId4">
          <objectPr defaultSize="0" r:id="rId5">
            <anchor moveWithCells="1">
              <from>
                <xdr:col>10</xdr:col>
                <xdr:colOff>30480</xdr:colOff>
                <xdr:row>3</xdr:row>
                <xdr:rowOff>38100</xdr:rowOff>
              </from>
              <to>
                <xdr:col>14</xdr:col>
                <xdr:colOff>480060</xdr:colOff>
                <xdr:row>24</xdr:row>
                <xdr:rowOff>152400</xdr:rowOff>
              </to>
            </anchor>
          </objectPr>
        </oleObject>
      </mc:Choice>
      <mc:Fallback>
        <oleObject progId="Visio.Drawing.11" shapeId="1044" r:id="rId4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5" r:id="rId6" name="Check Box 21">
              <controlPr defaultSize="0" autoFill="0" autoLine="0" autoPict="0">
                <anchor moveWithCells="1">
                  <from>
                    <xdr:col>0</xdr:col>
                    <xdr:colOff>7620</xdr:colOff>
                    <xdr:row>33</xdr:row>
                    <xdr:rowOff>182880</xdr:rowOff>
                  </from>
                  <to>
                    <xdr:col>0</xdr:col>
                    <xdr:colOff>228600</xdr:colOff>
                    <xdr:row>35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7" name="Check Box 22">
              <controlPr defaultSize="0" autoFill="0" autoLine="0" autoPict="0">
                <anchor moveWithCells="1">
                  <from>
                    <xdr:col>10</xdr:col>
                    <xdr:colOff>0</xdr:colOff>
                    <xdr:row>33</xdr:row>
                    <xdr:rowOff>182880</xdr:rowOff>
                  </from>
                  <to>
                    <xdr:col>10</xdr:col>
                    <xdr:colOff>220980</xdr:colOff>
                    <xdr:row>35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9"/>
  <sheetViews>
    <sheetView zoomScale="80" zoomScaleNormal="80" workbookViewId="0">
      <pane ySplit="3" topLeftCell="A4" activePane="bottomLeft" state="frozen"/>
      <selection pane="bottomLeft" activeCell="F47" sqref="F47"/>
    </sheetView>
  </sheetViews>
  <sheetFormatPr defaultRowHeight="14.4" x14ac:dyDescent="0.3"/>
  <cols>
    <col min="1" max="1" width="28.5546875" customWidth="1"/>
    <col min="2" max="2" width="5.6640625" style="1" customWidth="1"/>
    <col min="3" max="3" width="4.109375" bestFit="1" customWidth="1"/>
    <col min="4" max="4" width="3.5546875" customWidth="1"/>
    <col min="5" max="5" width="24.44140625" customWidth="1"/>
    <col min="6" max="6" width="5.6640625" style="2" customWidth="1"/>
    <col min="7" max="7" width="4.33203125" customWidth="1"/>
    <col min="8" max="8" width="10.6640625" customWidth="1"/>
    <col min="9" max="9" width="9.109375" customWidth="1"/>
    <col min="10" max="10" width="9.44140625" customWidth="1"/>
    <col min="11" max="11" width="28.33203125" customWidth="1"/>
    <col min="12" max="12" width="6.44140625" customWidth="1"/>
    <col min="13" max="13" width="5.5546875" bestFit="1" customWidth="1"/>
    <col min="14" max="14" width="9.5546875" customWidth="1"/>
    <col min="15" max="15" width="22.33203125" customWidth="1"/>
    <col min="16" max="16" width="6.33203125" customWidth="1"/>
    <col min="17" max="17" width="4.33203125" customWidth="1"/>
  </cols>
  <sheetData>
    <row r="1" spans="1:20" ht="15" thickBot="1" x14ac:dyDescent="0.35">
      <c r="A1" t="s">
        <v>62</v>
      </c>
      <c r="K1" s="50" t="s">
        <v>25</v>
      </c>
      <c r="L1" s="187" t="s">
        <v>26</v>
      </c>
      <c r="M1" s="187"/>
      <c r="N1" s="18" t="s">
        <v>32</v>
      </c>
      <c r="O1" s="197" t="s">
        <v>31</v>
      </c>
      <c r="P1" s="198"/>
    </row>
    <row r="2" spans="1:20" x14ac:dyDescent="0.3">
      <c r="A2" t="s">
        <v>63</v>
      </c>
      <c r="E2" s="3" t="s">
        <v>47</v>
      </c>
      <c r="F2" s="6">
        <f>F19+F39+P39+F55</f>
        <v>2.1379881476379046</v>
      </c>
      <c r="G2" s="7" t="s">
        <v>2</v>
      </c>
      <c r="H2" s="189" t="s">
        <v>61</v>
      </c>
      <c r="I2" s="190"/>
      <c r="J2" s="191"/>
      <c r="K2" s="51" t="s">
        <v>24</v>
      </c>
      <c r="L2" s="4">
        <v>25</v>
      </c>
      <c r="M2" s="5" t="s">
        <v>23</v>
      </c>
      <c r="N2" s="19">
        <f>F2*L2</f>
        <v>53.449703690947615</v>
      </c>
      <c r="O2" s="199">
        <f>150-N2</f>
        <v>96.550296309052385</v>
      </c>
      <c r="P2" s="200"/>
      <c r="Q2" s="14" t="s">
        <v>61</v>
      </c>
      <c r="R2" s="15"/>
      <c r="S2" s="15"/>
    </row>
    <row r="3" spans="1:20" ht="15" thickBot="1" x14ac:dyDescent="0.35">
      <c r="E3" s="8" t="str">
        <f>IF(OR(D37=TRUE,N37=TRUE),"Total Internal Dissipation: ","")</f>
        <v/>
      </c>
      <c r="F3" s="9" t="str">
        <f>IF(OR(D37=TRUE,N37=TRUE),F20+IF(D37=TRUE,F40,F39)+IF(N37=TRUE,P40,P39)+F55,"")</f>
        <v/>
      </c>
      <c r="G3" s="10" t="str">
        <f>IF(OR(D37=TRUE,N37=TRUE),"W","")</f>
        <v/>
      </c>
      <c r="H3" s="192" t="str">
        <f>IF(D37=TRUE,IF(N37=TRUE,"with SW2 &amp; SW3 diodes","with SW2 diode"),IF(N37=TRUE,"with SW3 diode",""))</f>
        <v/>
      </c>
      <c r="I3" s="193"/>
      <c r="J3" s="194"/>
      <c r="K3" s="11"/>
      <c r="L3" s="12"/>
      <c r="M3" s="13"/>
      <c r="N3" s="17" t="str">
        <f>IF(OR(D37=TRUE,N37=TRUE),F3*L2,"")</f>
        <v/>
      </c>
      <c r="O3" s="195" t="str">
        <f>IF(OR(D37=TRUE,N37=TRUE),150-N3,"")</f>
        <v/>
      </c>
      <c r="P3" s="196"/>
      <c r="Q3" s="27" t="str">
        <f>IF(D37=TRUE,IF(N37=TRUE,"with SW2 &amp; SW3 diodes","with SW2 diode"),IF(N37=TRUE,"with SW3 diode",""))</f>
        <v/>
      </c>
      <c r="R3" s="16"/>
      <c r="S3" s="16"/>
    </row>
    <row r="4" spans="1:20" x14ac:dyDescent="0.3">
      <c r="A4" s="32"/>
      <c r="B4" s="33"/>
      <c r="C4" s="32"/>
      <c r="D4" s="32"/>
      <c r="E4" s="32"/>
      <c r="F4" s="34"/>
      <c r="G4" s="32"/>
      <c r="H4" s="32"/>
      <c r="I4" s="32"/>
      <c r="J4" s="32"/>
      <c r="O4" s="32"/>
      <c r="P4" s="32"/>
      <c r="Q4" s="32"/>
      <c r="R4" s="32"/>
      <c r="S4" s="32"/>
      <c r="T4" s="32"/>
    </row>
    <row r="5" spans="1:20" x14ac:dyDescent="0.3">
      <c r="A5" s="32"/>
      <c r="B5" s="33"/>
      <c r="C5" s="32"/>
      <c r="D5" s="32"/>
      <c r="E5" s="32"/>
      <c r="F5" s="34"/>
      <c r="G5" s="32"/>
      <c r="H5" s="32"/>
      <c r="I5" s="32"/>
      <c r="J5" s="32"/>
      <c r="O5" s="32"/>
      <c r="P5" s="32"/>
      <c r="Q5" s="32"/>
      <c r="R5" s="32"/>
      <c r="S5" s="32"/>
      <c r="T5" s="32"/>
    </row>
    <row r="6" spans="1:20" x14ac:dyDescent="0.3">
      <c r="A6" s="32"/>
      <c r="B6" s="33"/>
      <c r="C6" s="32"/>
      <c r="D6" s="32"/>
      <c r="E6" s="32"/>
      <c r="F6" s="34"/>
      <c r="G6" s="32"/>
      <c r="H6" s="32"/>
      <c r="I6" s="32"/>
      <c r="J6" s="32"/>
      <c r="O6" s="32"/>
      <c r="P6" s="32"/>
      <c r="Q6" s="32"/>
      <c r="R6" s="32"/>
      <c r="S6" s="32"/>
      <c r="T6" s="32"/>
    </row>
    <row r="7" spans="1:20" ht="15" thickBot="1" x14ac:dyDescent="0.35">
      <c r="A7" s="28" t="s">
        <v>27</v>
      </c>
      <c r="B7" s="28"/>
      <c r="C7" s="28"/>
      <c r="D7" s="28"/>
      <c r="E7" s="28"/>
      <c r="F7" s="28"/>
      <c r="G7" s="28"/>
      <c r="H7" s="28"/>
      <c r="I7" s="28"/>
      <c r="J7" s="32"/>
      <c r="O7" s="32"/>
      <c r="P7" s="32"/>
      <c r="Q7" s="32"/>
      <c r="R7" s="32"/>
      <c r="S7" s="32"/>
      <c r="T7" s="32"/>
    </row>
    <row r="8" spans="1:20" ht="15" thickBot="1" x14ac:dyDescent="0.35">
      <c r="A8" s="42" t="s">
        <v>0</v>
      </c>
      <c r="B8" s="161">
        <v>8</v>
      </c>
      <c r="C8" s="63" t="s">
        <v>1</v>
      </c>
      <c r="D8" s="30"/>
      <c r="E8" s="42" t="s">
        <v>4</v>
      </c>
      <c r="F8" s="64">
        <f>(3.3+B20+F10*IF(B8&gt;7.5,B12,B12+0.05))/(B8-(IF(B8&gt;7.5,B12,B12+0.05)*B15)+B20)</f>
        <v>0.5254715764095923</v>
      </c>
      <c r="G8" s="30"/>
      <c r="H8" s="30"/>
      <c r="I8" s="30"/>
      <c r="J8" s="32"/>
      <c r="O8" s="32"/>
      <c r="P8" s="32"/>
      <c r="Q8" s="32"/>
      <c r="R8" s="32"/>
      <c r="S8" s="32"/>
      <c r="T8" s="32"/>
    </row>
    <row r="9" spans="1:20" ht="15" thickBot="1" x14ac:dyDescent="0.35">
      <c r="A9" s="153" t="s">
        <v>53</v>
      </c>
      <c r="B9" s="164">
        <v>2.2799999999999998</v>
      </c>
      <c r="C9" s="154" t="s">
        <v>3</v>
      </c>
      <c r="D9" s="30"/>
      <c r="E9" s="65" t="s">
        <v>37</v>
      </c>
      <c r="F9" s="162">
        <v>3.3</v>
      </c>
      <c r="G9" s="66" t="s">
        <v>38</v>
      </c>
      <c r="H9" s="30"/>
      <c r="I9" s="30"/>
      <c r="J9" s="32"/>
      <c r="O9" s="32"/>
      <c r="P9" s="32"/>
      <c r="Q9" s="32"/>
      <c r="R9" s="32"/>
      <c r="S9" s="32"/>
      <c r="T9" s="32"/>
    </row>
    <row r="10" spans="1:20" ht="15" thickBot="1" x14ac:dyDescent="0.35">
      <c r="A10" s="25"/>
      <c r="B10" s="26"/>
      <c r="C10" s="25"/>
      <c r="D10" s="30"/>
      <c r="E10" s="42" t="s">
        <v>20</v>
      </c>
      <c r="F10" s="67">
        <v>4.2999999999999997E-2</v>
      </c>
      <c r="G10" s="68" t="s">
        <v>12</v>
      </c>
      <c r="H10" s="183" t="s">
        <v>65</v>
      </c>
      <c r="I10" s="183"/>
      <c r="J10" s="32"/>
      <c r="O10" s="32"/>
      <c r="P10" s="32"/>
      <c r="Q10" s="32"/>
      <c r="R10" s="32"/>
      <c r="S10" s="32"/>
      <c r="T10" s="32"/>
    </row>
    <row r="11" spans="1:20" x14ac:dyDescent="0.3">
      <c r="A11" s="172" t="s">
        <v>52</v>
      </c>
      <c r="B11" s="173"/>
      <c r="C11" s="174"/>
      <c r="D11" s="30"/>
      <c r="E11" s="25"/>
      <c r="F11" s="24"/>
      <c r="G11" s="25"/>
      <c r="H11" s="184">
        <f>(3.3+B20+B12*F10)*(1-(3.3+B20)/(B8+B20-B12*(B15+F10)))/(0.000001*F9*1000*B18)</f>
        <v>0.25537026954485725</v>
      </c>
      <c r="I11" s="184"/>
      <c r="J11" s="32"/>
      <c r="O11" s="32"/>
      <c r="P11" s="32"/>
      <c r="Q11" s="32"/>
      <c r="R11" s="32"/>
      <c r="S11" s="32"/>
      <c r="T11" s="32"/>
    </row>
    <row r="12" spans="1:20" x14ac:dyDescent="0.3">
      <c r="A12" s="69" t="s">
        <v>54</v>
      </c>
      <c r="B12" s="48">
        <f>(((B28*B29)+F39+F31)+((L28*L29)+P39+P31)+F56)/3.3+B9+B23</f>
        <v>3.100205737865156</v>
      </c>
      <c r="C12" s="49" t="s">
        <v>3</v>
      </c>
      <c r="D12" s="30"/>
      <c r="E12" s="42" t="s">
        <v>35</v>
      </c>
      <c r="F12" s="64">
        <f>H14^2*F10</f>
        <v>0.41351853494382407</v>
      </c>
      <c r="G12" s="30" t="s">
        <v>2</v>
      </c>
      <c r="H12" s="30"/>
      <c r="I12" s="30"/>
      <c r="J12" s="32"/>
      <c r="O12" s="32"/>
      <c r="P12" s="32"/>
      <c r="Q12" s="32"/>
      <c r="R12" s="32"/>
      <c r="S12" s="32"/>
      <c r="T12" s="32"/>
    </row>
    <row r="13" spans="1:20" x14ac:dyDescent="0.3">
      <c r="A13" s="45" t="str">
        <f>IF(D37=TRUE,IF(N37=TRUE,"With SW2 &amp; SW3 diodes","With SW2 diode"),IF(N37=TRUE,"With SW3 diode",""))</f>
        <v/>
      </c>
      <c r="B13" s="46" t="str">
        <f>IF(OR(D37=TRUE,N37=TRUE),(F42+P42+F56)/3.3+B9+B23,"")</f>
        <v/>
      </c>
      <c r="C13" s="47" t="str">
        <f>IF(OR(D37=TRUE,N37=TRUE),"A","")</f>
        <v/>
      </c>
      <c r="D13" s="30"/>
      <c r="E13" s="70" t="s">
        <v>15</v>
      </c>
      <c r="F13" s="71">
        <f>F8*(SQRT(IF(B8&gt;7.5,B12,B12+0.05)^2+H11^2/12))^2*B15</f>
        <v>1.5362055784925803</v>
      </c>
      <c r="G13" s="72" t="s">
        <v>2</v>
      </c>
      <c r="H13" s="183" t="s">
        <v>40</v>
      </c>
      <c r="I13" s="183"/>
      <c r="J13" s="32"/>
      <c r="O13" s="32"/>
      <c r="P13" s="32"/>
      <c r="Q13" s="32"/>
      <c r="R13" s="32"/>
      <c r="S13" s="32"/>
      <c r="T13" s="32"/>
    </row>
    <row r="14" spans="1:20" x14ac:dyDescent="0.3">
      <c r="A14" s="42"/>
      <c r="B14" s="31"/>
      <c r="C14" s="30"/>
      <c r="D14" s="30"/>
      <c r="E14" s="70" t="s">
        <v>14</v>
      </c>
      <c r="F14" s="71">
        <f>0.5*B8*IF(B8&gt;7.5,B12,B12+0.05)*((B16+B17)*0.000000001)*(B18*1000)</f>
        <v>0.19965324951851607</v>
      </c>
      <c r="G14" s="72" t="s">
        <v>2</v>
      </c>
      <c r="H14" s="184">
        <f>SQRT(IF(B8&gt;7.5,B12,B12+0.05)^2+H11^2/12)</f>
        <v>3.1010820877514114</v>
      </c>
      <c r="I14" s="184"/>
      <c r="J14" s="32"/>
      <c r="O14" s="32"/>
      <c r="P14" s="32"/>
      <c r="Q14" s="32"/>
      <c r="R14" s="32"/>
      <c r="S14" s="32"/>
      <c r="T14" s="32"/>
    </row>
    <row r="15" spans="1:20" x14ac:dyDescent="0.3">
      <c r="A15" s="70" t="s">
        <v>5</v>
      </c>
      <c r="B15" s="73">
        <f>0.304/1</f>
        <v>0.30399999999999999</v>
      </c>
      <c r="C15" s="74" t="s">
        <v>12</v>
      </c>
      <c r="D15" s="30"/>
      <c r="E15" s="70" t="s">
        <v>16</v>
      </c>
      <c r="F15" s="71">
        <f>B8*B19</f>
        <v>3.2000000000000001E-2</v>
      </c>
      <c r="G15" s="72" t="s">
        <v>2</v>
      </c>
      <c r="H15" s="30"/>
      <c r="I15" s="30"/>
      <c r="J15" s="32"/>
      <c r="O15" s="32"/>
      <c r="P15" s="32"/>
      <c r="Q15" s="32"/>
      <c r="R15" s="32"/>
      <c r="S15" s="32"/>
      <c r="T15" s="32"/>
    </row>
    <row r="16" spans="1:20" x14ac:dyDescent="0.3">
      <c r="A16" s="70" t="s">
        <v>7</v>
      </c>
      <c r="B16" s="75">
        <v>5</v>
      </c>
      <c r="C16" s="74" t="s">
        <v>34</v>
      </c>
      <c r="D16" s="30"/>
      <c r="E16" s="42" t="s">
        <v>17</v>
      </c>
      <c r="F16" s="31">
        <f>(1-F8)*(B20*IF(B8&gt;7.5,B12,B12+0.05))</f>
        <v>0.85325873012515174</v>
      </c>
      <c r="G16" s="30" t="s">
        <v>2</v>
      </c>
      <c r="H16" s="183" t="s">
        <v>39</v>
      </c>
      <c r="I16" s="183"/>
      <c r="J16" s="32"/>
      <c r="O16" s="32"/>
      <c r="P16" s="32"/>
      <c r="Q16" s="32"/>
      <c r="R16" s="32"/>
      <c r="S16" s="32"/>
      <c r="T16" s="32"/>
    </row>
    <row r="17" spans="1:20" x14ac:dyDescent="0.3">
      <c r="A17" s="70" t="s">
        <v>8</v>
      </c>
      <c r="B17" s="75">
        <v>2</v>
      </c>
      <c r="C17" s="74" t="s">
        <v>34</v>
      </c>
      <c r="D17" s="30"/>
      <c r="E17" s="70" t="s">
        <v>45</v>
      </c>
      <c r="F17" s="71">
        <f>(B8-3.3)*B22</f>
        <v>6.5799999999999997E-2</v>
      </c>
      <c r="G17" s="72" t="s">
        <v>2</v>
      </c>
      <c r="H17" s="184">
        <f>IF(B8&gt;7.5,B12,B12+0.05)+H11/2</f>
        <v>3.2278908726375848</v>
      </c>
      <c r="I17" s="184"/>
      <c r="J17" s="32"/>
      <c r="O17" s="32"/>
      <c r="P17" s="32"/>
      <c r="Q17" s="32"/>
      <c r="R17" s="32"/>
      <c r="S17" s="32"/>
      <c r="T17" s="32"/>
    </row>
    <row r="18" spans="1:20" x14ac:dyDescent="0.3">
      <c r="A18" s="42" t="s">
        <v>9</v>
      </c>
      <c r="B18" s="76">
        <f>IF(B8&gt;18.9,1000,2300)</f>
        <v>2300</v>
      </c>
      <c r="C18" s="77" t="s">
        <v>33</v>
      </c>
      <c r="D18" s="30"/>
      <c r="E18" s="172" t="s">
        <v>50</v>
      </c>
      <c r="F18" s="173"/>
      <c r="G18" s="174"/>
      <c r="H18" s="30"/>
      <c r="I18" s="30"/>
      <c r="J18" s="32"/>
      <c r="O18" s="32"/>
      <c r="P18" s="32"/>
      <c r="Q18" s="32"/>
      <c r="R18" s="32"/>
      <c r="S18" s="32"/>
      <c r="T18" s="32"/>
    </row>
    <row r="19" spans="1:20" x14ac:dyDescent="0.3">
      <c r="A19" s="70" t="s">
        <v>10</v>
      </c>
      <c r="B19" s="75">
        <v>4.0000000000000001E-3</v>
      </c>
      <c r="C19" s="72" t="s">
        <v>3</v>
      </c>
      <c r="D19" s="30"/>
      <c r="E19" s="69" t="s">
        <v>51</v>
      </c>
      <c r="F19" s="78">
        <f>F13+F14+F15+F17</f>
        <v>1.8336588280110966</v>
      </c>
      <c r="G19" s="79" t="s">
        <v>2</v>
      </c>
      <c r="H19" s="30"/>
      <c r="I19" s="30"/>
      <c r="J19" s="32"/>
      <c r="O19" s="32"/>
      <c r="P19" s="32"/>
      <c r="Q19" s="32"/>
      <c r="R19" s="32"/>
      <c r="S19" s="32"/>
      <c r="T19" s="32"/>
    </row>
    <row r="20" spans="1:20" x14ac:dyDescent="0.3">
      <c r="A20" s="42" t="s">
        <v>11</v>
      </c>
      <c r="B20" s="29">
        <f>IF(B12&lt;1.5,0.35,IF(B12&lt;2,0.4,IF(B12&lt;2.5,0.53,IF(B12&lt;3,0.55,IF(B12&lt;3.5,0.58,0.62)))))</f>
        <v>0.57999999999999996</v>
      </c>
      <c r="C20" s="30" t="s">
        <v>1</v>
      </c>
      <c r="D20" s="30"/>
      <c r="E20" s="45" t="str">
        <f>IF(D37=TRUE,IF(N37=TRUE,"With SW2 &amp; SW3 diodes","With SW2 diode"),IF(N37=TRUE,"With SW3 diode",""))</f>
        <v/>
      </c>
      <c r="F20" s="46" t="str">
        <f>IF(OR(D37=TRUE,N37=TRUE),(F8*(SQRT(IF(B8&gt;7.5,B13,B13+0.05)^2+H11^2/12))^2*B15)+(0.5*B8*IF(B8&gt;7.5,B13,B13+0.05)*((B16+B17)*0.000000001)*(B18*1000))+F15+F17,"")</f>
        <v/>
      </c>
      <c r="G20" s="47" t="str">
        <f>IF(OR(D37=TRUE,N37=TRUE),"W","")</f>
        <v/>
      </c>
      <c r="H20" s="201" t="s">
        <v>68</v>
      </c>
      <c r="I20" s="201"/>
      <c r="J20" s="32"/>
      <c r="O20" s="32"/>
      <c r="P20" s="32"/>
      <c r="Q20" s="32"/>
      <c r="R20" s="32"/>
      <c r="S20" s="32"/>
      <c r="T20" s="32"/>
    </row>
    <row r="21" spans="1:20" x14ac:dyDescent="0.3">
      <c r="A21" s="42" t="s">
        <v>55</v>
      </c>
      <c r="B21" s="29"/>
      <c r="C21" s="30"/>
      <c r="D21" s="30"/>
      <c r="E21" s="172" t="s">
        <v>56</v>
      </c>
      <c r="F21" s="173"/>
      <c r="G21" s="174"/>
      <c r="H21" s="201" t="s">
        <v>57</v>
      </c>
      <c r="I21" s="201"/>
      <c r="J21" s="32"/>
      <c r="O21" s="32"/>
      <c r="P21" s="32"/>
      <c r="Q21" s="32"/>
      <c r="R21" s="32"/>
      <c r="S21" s="32"/>
      <c r="T21" s="32"/>
    </row>
    <row r="22" spans="1:20" x14ac:dyDescent="0.3">
      <c r="A22" s="70" t="s">
        <v>13</v>
      </c>
      <c r="B22" s="75">
        <v>1.4E-2</v>
      </c>
      <c r="C22" s="72" t="s">
        <v>3</v>
      </c>
      <c r="D22" s="30"/>
      <c r="E22" s="69" t="s">
        <v>51</v>
      </c>
      <c r="F22" s="48">
        <f>F12+(IF(B8&gt;7.5,B12,B12+0.05)*3.3)+F16+F19</f>
        <v>13.331115028035086</v>
      </c>
      <c r="G22" s="49" t="s">
        <v>2</v>
      </c>
      <c r="H22" s="202">
        <f>(3.3*B9+B28*B29+L28*L29+5*B46)/F22</f>
        <v>0.7355723793079697</v>
      </c>
      <c r="I22" s="202"/>
      <c r="J22" s="32"/>
      <c r="O22" s="32"/>
      <c r="P22" s="32"/>
      <c r="Q22" s="32"/>
      <c r="R22" s="32"/>
      <c r="S22" s="32"/>
      <c r="T22" s="32"/>
    </row>
    <row r="23" spans="1:20" x14ac:dyDescent="0.3">
      <c r="A23" s="70" t="s">
        <v>36</v>
      </c>
      <c r="B23" s="75">
        <v>2.5000000000000001E-2</v>
      </c>
      <c r="C23" s="72" t="s">
        <v>3</v>
      </c>
      <c r="D23" s="30"/>
      <c r="E23" s="45" t="str">
        <f>IF(D37=TRUE,IF(N37=TRUE,"With SW2 &amp; SW3 diodes","With SW2 diode"),IF(N37=TRUE,"With SW3 diode",""))</f>
        <v/>
      </c>
      <c r="F23" s="46" t="str">
        <f>IF(OR(D37=TRUE,N37=TRUE),F12+(IF(B8&gt;7.5,B13,B13+0.05)*3.3)+(1-F8)*(B20*IF(B8&gt;7.5,B13,B13+0.05))+F20,"")</f>
        <v/>
      </c>
      <c r="G23" s="47" t="str">
        <f>IF(OR(D37=TRUE,N37=TRUE),"W","")</f>
        <v/>
      </c>
      <c r="H23" s="202" t="str">
        <f>IF(OR(D37=TRUE,N37=TRUE),(3.3*B9+B28*B29+L28*L29+5*B46)/F23,"")</f>
        <v/>
      </c>
      <c r="I23" s="202"/>
      <c r="J23" s="32"/>
      <c r="O23" s="32"/>
      <c r="P23" s="32"/>
      <c r="Q23" s="32"/>
      <c r="R23" s="32"/>
      <c r="S23" s="32"/>
      <c r="T23" s="32"/>
    </row>
    <row r="24" spans="1:20" x14ac:dyDescent="0.3">
      <c r="A24" s="32"/>
      <c r="B24" s="33"/>
      <c r="C24" s="32"/>
      <c r="D24" s="32"/>
      <c r="E24" s="32"/>
      <c r="F24" s="34"/>
      <c r="G24" s="32"/>
      <c r="H24" s="32"/>
      <c r="I24" s="32"/>
      <c r="J24" s="32"/>
      <c r="O24" s="32"/>
      <c r="P24" s="32"/>
      <c r="Q24" s="32"/>
      <c r="R24" s="32"/>
      <c r="S24" s="32"/>
      <c r="T24" s="32"/>
    </row>
    <row r="25" spans="1:20" x14ac:dyDescent="0.3">
      <c r="A25" s="32"/>
      <c r="B25" s="33"/>
      <c r="C25" s="32"/>
      <c r="D25" s="32"/>
      <c r="E25" s="32"/>
      <c r="F25" s="34"/>
      <c r="G25" s="32"/>
      <c r="H25" s="32"/>
      <c r="I25" s="32"/>
      <c r="J25" s="32"/>
      <c r="O25" s="32"/>
      <c r="P25" s="32"/>
      <c r="Q25" s="32"/>
      <c r="R25" s="32"/>
      <c r="S25" s="32"/>
      <c r="T25" s="32"/>
    </row>
    <row r="26" spans="1:20" x14ac:dyDescent="0.3">
      <c r="A26" s="180" t="s">
        <v>28</v>
      </c>
      <c r="B26" s="180"/>
      <c r="C26" s="180"/>
      <c r="D26" s="180"/>
      <c r="E26" s="180"/>
      <c r="F26" s="180"/>
      <c r="G26" s="180"/>
      <c r="H26" s="36"/>
      <c r="I26" s="36"/>
      <c r="J26" s="32"/>
      <c r="K26" s="204" t="s">
        <v>29</v>
      </c>
      <c r="L26" s="204"/>
      <c r="M26" s="204"/>
      <c r="N26" s="204"/>
      <c r="O26" s="204"/>
      <c r="P26" s="204"/>
      <c r="Q26" s="204"/>
      <c r="R26" s="38"/>
      <c r="S26" s="38"/>
      <c r="T26" s="32"/>
    </row>
    <row r="27" spans="1:20" ht="15" thickBot="1" x14ac:dyDescent="0.35">
      <c r="A27" s="80" t="s">
        <v>18</v>
      </c>
      <c r="B27" s="81">
        <v>3.3</v>
      </c>
      <c r="C27" s="80" t="s">
        <v>1</v>
      </c>
      <c r="D27" s="82"/>
      <c r="E27" s="43" t="s">
        <v>4</v>
      </c>
      <c r="F27" s="58">
        <f>(B28+(B29*B32)+(F29*B29))/(B27-(B29*B31)+(B29*B32))</f>
        <v>0.59838175799926452</v>
      </c>
      <c r="G27" s="37"/>
      <c r="H27" s="37"/>
      <c r="I27" s="37"/>
      <c r="J27" s="32"/>
      <c r="K27" s="130" t="s">
        <v>46</v>
      </c>
      <c r="L27" s="131">
        <v>3.3</v>
      </c>
      <c r="M27" s="130" t="s">
        <v>1</v>
      </c>
      <c r="N27" s="132"/>
      <c r="O27" s="44" t="s">
        <v>4</v>
      </c>
      <c r="P27" s="57">
        <f>(L28+(L29*L32)+(P29*L29))/(L27-(L29*L31)+(L29*L32))</f>
        <v>0.46055905166105665</v>
      </c>
      <c r="Q27" s="39"/>
      <c r="R27" s="39"/>
      <c r="S27" s="39"/>
      <c r="T27" s="32"/>
    </row>
    <row r="28" spans="1:20" ht="15" thickBot="1" x14ac:dyDescent="0.35">
      <c r="A28" s="43" t="s">
        <v>19</v>
      </c>
      <c r="B28" s="83">
        <v>1.8</v>
      </c>
      <c r="C28" s="84" t="s">
        <v>1</v>
      </c>
      <c r="D28" s="37"/>
      <c r="E28" s="43" t="s">
        <v>37</v>
      </c>
      <c r="F28" s="83">
        <v>2.2000000000000002</v>
      </c>
      <c r="G28" s="85" t="s">
        <v>38</v>
      </c>
      <c r="H28" s="37"/>
      <c r="I28" s="37"/>
      <c r="J28" s="32"/>
      <c r="K28" s="44" t="s">
        <v>21</v>
      </c>
      <c r="L28" s="133">
        <v>1.35</v>
      </c>
      <c r="M28" s="134" t="s">
        <v>1</v>
      </c>
      <c r="N28" s="39"/>
      <c r="O28" s="44" t="s">
        <v>37</v>
      </c>
      <c r="P28" s="133">
        <v>1</v>
      </c>
      <c r="Q28" s="134" t="s">
        <v>38</v>
      </c>
      <c r="R28" s="39"/>
      <c r="S28" s="39"/>
      <c r="T28" s="32"/>
    </row>
    <row r="29" spans="1:20" ht="15" thickBot="1" x14ac:dyDescent="0.35">
      <c r="A29" s="43" t="s">
        <v>42</v>
      </c>
      <c r="B29" s="83">
        <v>0.6</v>
      </c>
      <c r="C29" s="84" t="s">
        <v>3</v>
      </c>
      <c r="D29" s="37"/>
      <c r="E29" s="43" t="s">
        <v>20</v>
      </c>
      <c r="F29" s="86">
        <v>4.9000000000000002E-2</v>
      </c>
      <c r="G29" s="85" t="s">
        <v>12</v>
      </c>
      <c r="H29" s="21"/>
      <c r="I29" s="21"/>
      <c r="J29" s="32"/>
      <c r="K29" s="44" t="s">
        <v>43</v>
      </c>
      <c r="L29" s="133">
        <v>0.72</v>
      </c>
      <c r="M29" s="134" t="s">
        <v>3</v>
      </c>
      <c r="N29" s="39"/>
      <c r="O29" s="44" t="s">
        <v>20</v>
      </c>
      <c r="P29" s="135">
        <v>1.7999999999999999E-2</v>
      </c>
      <c r="Q29" s="136" t="s">
        <v>12</v>
      </c>
      <c r="R29" s="39"/>
      <c r="S29" s="39"/>
      <c r="T29" s="32"/>
    </row>
    <row r="30" spans="1:20" x14ac:dyDescent="0.3">
      <c r="A30" s="87" t="s">
        <v>10</v>
      </c>
      <c r="B30" s="88">
        <v>4.0000000000000001E-3</v>
      </c>
      <c r="C30" s="89" t="s">
        <v>3</v>
      </c>
      <c r="D30" s="37"/>
      <c r="E30" s="43" t="s">
        <v>9</v>
      </c>
      <c r="F30" s="90">
        <f>IF(B8&gt;18.9,1000,2300)</f>
        <v>2300</v>
      </c>
      <c r="G30" s="37" t="s">
        <v>33</v>
      </c>
      <c r="H30" s="179" t="s">
        <v>65</v>
      </c>
      <c r="I30" s="179"/>
      <c r="J30" s="32"/>
      <c r="K30" s="137" t="s">
        <v>10</v>
      </c>
      <c r="L30" s="138">
        <v>4.0000000000000001E-3</v>
      </c>
      <c r="M30" s="139" t="s">
        <v>3</v>
      </c>
      <c r="N30" s="23"/>
      <c r="O30" s="44" t="s">
        <v>9</v>
      </c>
      <c r="P30" s="140">
        <f>IF(B8&gt;18.9,1000,2300)</f>
        <v>2300</v>
      </c>
      <c r="Q30" s="39" t="s">
        <v>33</v>
      </c>
      <c r="R30" s="185" t="s">
        <v>65</v>
      </c>
      <c r="S30" s="185"/>
      <c r="T30" s="32"/>
    </row>
    <row r="31" spans="1:20" x14ac:dyDescent="0.3">
      <c r="A31" s="87" t="s">
        <v>5</v>
      </c>
      <c r="B31" s="88">
        <f>0.267/1</f>
        <v>0.26700000000000002</v>
      </c>
      <c r="C31" s="91" t="s">
        <v>12</v>
      </c>
      <c r="D31" s="37"/>
      <c r="E31" s="43" t="s">
        <v>35</v>
      </c>
      <c r="F31" s="58">
        <f>H34^2*F29</f>
        <v>1.773984821357652E-2</v>
      </c>
      <c r="G31" s="37" t="s">
        <v>2</v>
      </c>
      <c r="H31" s="203">
        <f>(B28+B29*B32+B29*F29)*(1-(B28+B29*B32)/(B27+B29*B32-B29*(B31+F29)))/(0.000001*F28*1000*F30)</f>
        <v>0.15637334725912905</v>
      </c>
      <c r="I31" s="203"/>
      <c r="J31" s="32"/>
      <c r="K31" s="137" t="s">
        <v>5</v>
      </c>
      <c r="L31" s="138">
        <f>0.233/1</f>
        <v>0.23300000000000001</v>
      </c>
      <c r="M31" s="141" t="s">
        <v>12</v>
      </c>
      <c r="N31" s="39"/>
      <c r="O31" s="44" t="s">
        <v>35</v>
      </c>
      <c r="P31" s="57">
        <f>R34^2*P29</f>
        <v>9.5209747027479117E-3</v>
      </c>
      <c r="Q31" s="39" t="s">
        <v>2</v>
      </c>
      <c r="R31" s="188">
        <f>(L28+L29*L32+L29*P29)*(1-(L28+L29*L32)/(L27+L29*L32-L29*(L31+P29)))/(0.000001*P28*1000*P30)</f>
        <v>0.35569153560157912</v>
      </c>
      <c r="S31" s="188"/>
      <c r="T31" s="32"/>
    </row>
    <row r="32" spans="1:20" x14ac:dyDescent="0.3">
      <c r="A32" s="87" t="s">
        <v>6</v>
      </c>
      <c r="B32" s="88">
        <f>0.205/1</f>
        <v>0.20499999999999999</v>
      </c>
      <c r="C32" s="91" t="s">
        <v>12</v>
      </c>
      <c r="D32" s="37"/>
      <c r="E32" s="87" t="s">
        <v>15</v>
      </c>
      <c r="F32" s="88">
        <f>(F27*H34^2*B31)+((1-F27)*H34^2*B32)</f>
        <v>8.7649211847864256E-2</v>
      </c>
      <c r="G32" s="89" t="s">
        <v>2</v>
      </c>
      <c r="H32" s="37"/>
      <c r="I32" s="37"/>
      <c r="J32" s="32"/>
      <c r="K32" s="137" t="s">
        <v>6</v>
      </c>
      <c r="L32" s="138">
        <f>0.205/1</f>
        <v>0.20499999999999999</v>
      </c>
      <c r="M32" s="141" t="s">
        <v>12</v>
      </c>
      <c r="N32" s="39"/>
      <c r="O32" s="137" t="s">
        <v>15</v>
      </c>
      <c r="P32" s="142">
        <f>(P27*R34^2*L31)+((1-P27)*R34^2*L32)</f>
        <v>0.11525438912794132</v>
      </c>
      <c r="Q32" s="139" t="s">
        <v>2</v>
      </c>
      <c r="R32" s="39"/>
      <c r="S32" s="39"/>
      <c r="T32" s="32"/>
    </row>
    <row r="33" spans="1:20" x14ac:dyDescent="0.3">
      <c r="A33" s="87" t="s">
        <v>7</v>
      </c>
      <c r="B33" s="92">
        <v>3</v>
      </c>
      <c r="C33" s="91" t="s">
        <v>34</v>
      </c>
      <c r="D33" s="37"/>
      <c r="E33" s="87" t="s">
        <v>14</v>
      </c>
      <c r="F33" s="88">
        <f>B27*H37*((B33+B34)*0.000000001)*(F30*1000)</f>
        <v>2.5737184264241975E-2</v>
      </c>
      <c r="G33" s="89" t="s">
        <v>2</v>
      </c>
      <c r="H33" s="179" t="s">
        <v>40</v>
      </c>
      <c r="I33" s="179"/>
      <c r="J33" s="32"/>
      <c r="K33" s="137" t="s">
        <v>7</v>
      </c>
      <c r="L33" s="138">
        <v>3</v>
      </c>
      <c r="M33" s="141" t="s">
        <v>34</v>
      </c>
      <c r="N33" s="39"/>
      <c r="O33" s="137" t="s">
        <v>14</v>
      </c>
      <c r="P33" s="142">
        <f>L27*R37*((L33+L34)*0.000000001)*(P30*1000)</f>
        <v>3.4073246888039956E-2</v>
      </c>
      <c r="Q33" s="139" t="s">
        <v>2</v>
      </c>
      <c r="R33" s="185" t="s">
        <v>40</v>
      </c>
      <c r="S33" s="185"/>
      <c r="T33" s="32"/>
    </row>
    <row r="34" spans="1:20" x14ac:dyDescent="0.3">
      <c r="A34" s="87" t="s">
        <v>8</v>
      </c>
      <c r="B34" s="92">
        <v>2</v>
      </c>
      <c r="C34" s="91" t="s">
        <v>34</v>
      </c>
      <c r="D34" s="21"/>
      <c r="E34" s="87" t="s">
        <v>16</v>
      </c>
      <c r="F34" s="88">
        <f>B27*B30</f>
        <v>1.32E-2</v>
      </c>
      <c r="G34" s="89" t="s">
        <v>2</v>
      </c>
      <c r="H34" s="178">
        <f>SQRT(B29^2+H31^2/12)</f>
        <v>0.60169570269731754</v>
      </c>
      <c r="I34" s="178"/>
      <c r="J34" s="32"/>
      <c r="K34" s="137" t="s">
        <v>8</v>
      </c>
      <c r="L34" s="138">
        <v>2</v>
      </c>
      <c r="M34" s="141" t="s">
        <v>34</v>
      </c>
      <c r="N34" s="39"/>
      <c r="O34" s="137" t="s">
        <v>16</v>
      </c>
      <c r="P34" s="142">
        <f>L27*L30</f>
        <v>1.32E-2</v>
      </c>
      <c r="Q34" s="139" t="s">
        <v>2</v>
      </c>
      <c r="R34" s="186">
        <f>SQRT(L29^2+R31^2/12)</f>
        <v>0.72728470287883185</v>
      </c>
      <c r="S34" s="186"/>
      <c r="T34" s="32"/>
    </row>
    <row r="35" spans="1:20" x14ac:dyDescent="0.3">
      <c r="A35" s="182" t="s">
        <v>59</v>
      </c>
      <c r="B35" s="182"/>
      <c r="C35" s="21"/>
      <c r="D35" s="37"/>
      <c r="E35" s="43" t="str">
        <f>IF(D37=TRUE,"Pdiode","")</f>
        <v/>
      </c>
      <c r="F35" s="58" t="str">
        <f>IF(D37=TRUE,IF((B37+((B38-B37)*B32*(B29-0.2)-(B38-B37)*B37)/(0.8*B32+(B38-B37)))&lt;B29*B32,(1-F27)*((B37+((B38-B37)*B32*(B29-0.2)-(B38-B37)*B37)/(0.8*B32+(B38-B37)))*B29-(B37+((B38-B37)*B32*(B29-0.2)-(B38-B37)*B37)/(0.8*B32+(B38-B37)))^2/B32)+3.3*F27*B41,3.3*F27*B41),"")</f>
        <v/>
      </c>
      <c r="G35" s="37" t="str">
        <f>IF(D37=TRUE,"W","")</f>
        <v/>
      </c>
      <c r="H35" s="37"/>
      <c r="I35" s="37"/>
      <c r="J35" s="32"/>
      <c r="K35" s="143" t="s">
        <v>60</v>
      </c>
      <c r="L35" s="143"/>
      <c r="M35" s="23"/>
      <c r="N35" s="39"/>
      <c r="O35" s="44" t="str">
        <f>IF(N37=TRUE,"Pdiode","")</f>
        <v/>
      </c>
      <c r="P35" s="57" t="str">
        <f>IF(N37=TRUE,IF((L37+((L38-L37)*L32*(L29-0.2)-(L38-L37)*L37)/(0.8*L32+(L38-L37)))&lt;L29*L32,(1-P27)*((L37+((L38-L37)*L32*(L29-0.2)-(L38-L37)*L37)/(0.8*L32+(L38-L37)))*L29-(L37+((L38-L37)*L32*(L29-0.2)-(L38-L37)*L37)/(0.8*L32+(L38-L37)))^2/L32)+3.3*P27*L41,3.3*P27*L41),"")</f>
        <v/>
      </c>
      <c r="Q35" s="39" t="str">
        <f>IF(N37=TRUE,"W","")</f>
        <v/>
      </c>
      <c r="R35" s="39"/>
      <c r="S35" s="39"/>
      <c r="T35" s="32"/>
    </row>
    <row r="36" spans="1:20" x14ac:dyDescent="0.3">
      <c r="A36" s="93" t="str">
        <f>IF(D37=TRUE,"      NRVBM110L recommended","")</f>
        <v/>
      </c>
      <c r="B36" s="93"/>
      <c r="C36" s="21"/>
      <c r="D36" s="37"/>
      <c r="E36" s="87" t="s">
        <v>44</v>
      </c>
      <c r="F36" s="88">
        <f>F33+F32</f>
        <v>0.11338639611210623</v>
      </c>
      <c r="G36" s="89" t="s">
        <v>2</v>
      </c>
      <c r="H36" s="179" t="s">
        <v>39</v>
      </c>
      <c r="I36" s="179"/>
      <c r="J36" s="35"/>
      <c r="K36" s="144" t="str">
        <f>IF(N37=TRUE,"      NRVBM110L recommended","")</f>
        <v/>
      </c>
      <c r="L36" s="144"/>
      <c r="M36" s="23"/>
      <c r="N36" s="39"/>
      <c r="O36" s="137" t="s">
        <v>44</v>
      </c>
      <c r="P36" s="142">
        <f>P33+P32</f>
        <v>0.14932763601598129</v>
      </c>
      <c r="Q36" s="139" t="s">
        <v>2</v>
      </c>
      <c r="R36" s="185" t="s">
        <v>39</v>
      </c>
      <c r="S36" s="185"/>
      <c r="T36" s="32"/>
    </row>
    <row r="37" spans="1:20" x14ac:dyDescent="0.3">
      <c r="A37" s="87" t="str">
        <f>IF(D37=TRUE,"Vdiode at I_AK = 0.2A","")</f>
        <v/>
      </c>
      <c r="B37" s="92" t="str">
        <f>IF(D37=TRUE,0.17,"")</f>
        <v/>
      </c>
      <c r="C37" s="89" t="str">
        <f>IF(D37=TRUE,"V","")</f>
        <v/>
      </c>
      <c r="D37" s="95" t="b">
        <v>0</v>
      </c>
      <c r="E37" s="21"/>
      <c r="F37" s="22"/>
      <c r="G37" s="21"/>
      <c r="H37" s="178">
        <f>B29+H31/2</f>
        <v>0.67818667362956453</v>
      </c>
      <c r="I37" s="178"/>
      <c r="J37" s="32"/>
      <c r="K37" s="137" t="str">
        <f>IF(N37=TRUE,"Vdiode at I_AK = 0.2A","")</f>
        <v/>
      </c>
      <c r="L37" s="138" t="str">
        <f>IF(N37=TRUE,0.17,"")</f>
        <v/>
      </c>
      <c r="M37" s="139" t="str">
        <f>IF(N37=TRUE,"V","")</f>
        <v/>
      </c>
      <c r="N37" s="146" t="b">
        <v>0</v>
      </c>
      <c r="O37" s="23"/>
      <c r="P37" s="23"/>
      <c r="Q37" s="23"/>
      <c r="R37" s="186">
        <f>L29+R31/2</f>
        <v>0.89784576780078951</v>
      </c>
      <c r="S37" s="186"/>
      <c r="T37" s="32"/>
    </row>
    <row r="38" spans="1:20" x14ac:dyDescent="0.3">
      <c r="A38" s="87" t="str">
        <f>IF(D37=TRUE,"Vdiode at I_AK = 1.0A","")</f>
        <v/>
      </c>
      <c r="B38" s="92" t="str">
        <f>IF(D37=TRUE,0.23,"")</f>
        <v/>
      </c>
      <c r="C38" s="89" t="str">
        <f>IF(D37=TRUE,"V","")</f>
        <v/>
      </c>
      <c r="D38" s="37"/>
      <c r="E38" s="175" t="s">
        <v>48</v>
      </c>
      <c r="F38" s="176"/>
      <c r="G38" s="177"/>
      <c r="H38" s="37"/>
      <c r="I38" s="37"/>
      <c r="J38" s="35"/>
      <c r="K38" s="137" t="str">
        <f>IF(N37=TRUE,"Vdiode at I_AK = 1.0A","")</f>
        <v/>
      </c>
      <c r="L38" s="139" t="str">
        <f>IF(N37=TRUE,0.23,"")</f>
        <v/>
      </c>
      <c r="M38" s="139" t="str">
        <f>IF(N37=TRUE,"V","")</f>
        <v/>
      </c>
      <c r="N38" s="39"/>
      <c r="O38" s="165" t="s">
        <v>49</v>
      </c>
      <c r="P38" s="166"/>
      <c r="Q38" s="167"/>
      <c r="R38" s="39"/>
      <c r="S38" s="39"/>
      <c r="T38" s="32"/>
    </row>
    <row r="39" spans="1:20" x14ac:dyDescent="0.3">
      <c r="A39" s="155" t="str">
        <f>IF(D37=TRUE,"Cdiode at V_AK = 0.5V","")</f>
        <v/>
      </c>
      <c r="B39" s="156" t="str">
        <f>IF(D37=TRUE,300,"")</f>
        <v/>
      </c>
      <c r="C39" s="157" t="str">
        <f>IF(D37=TRUE,"pF","")</f>
        <v/>
      </c>
      <c r="D39" s="37"/>
      <c r="E39" s="96" t="s">
        <v>58</v>
      </c>
      <c r="F39" s="97">
        <f>F36+F34</f>
        <v>0.12658639611210623</v>
      </c>
      <c r="G39" s="98" t="s">
        <v>2</v>
      </c>
      <c r="H39" s="37"/>
      <c r="I39" s="37"/>
      <c r="J39" s="35"/>
      <c r="K39" s="158" t="str">
        <f>IF(N37=TRUE,"Cdiode at V_AK = 0.5V","")</f>
        <v/>
      </c>
      <c r="L39" s="159" t="str">
        <f>IF(N37=TRUE,300,"")</f>
        <v/>
      </c>
      <c r="M39" s="160" t="str">
        <f>IF(N37=TRUE,"pF","")</f>
        <v/>
      </c>
      <c r="N39" s="39"/>
      <c r="O39" s="147" t="s">
        <v>58</v>
      </c>
      <c r="P39" s="148">
        <f>P36+P34</f>
        <v>0.16252763601598127</v>
      </c>
      <c r="Q39" s="149" t="s">
        <v>2</v>
      </c>
      <c r="R39" s="39"/>
      <c r="S39" s="39"/>
      <c r="T39" s="32"/>
    </row>
    <row r="40" spans="1:20" x14ac:dyDescent="0.3">
      <c r="A40" s="155" t="str">
        <f>IF(D37=TRUE,"Cdiode at V_AK = 1.5V","")</f>
        <v/>
      </c>
      <c r="B40" s="157" t="str">
        <f>IF(D37=TRUE,220,"")</f>
        <v/>
      </c>
      <c r="C40" s="157" t="str">
        <f>IF(D37=TRUE,"pF","")</f>
        <v/>
      </c>
      <c r="D40" s="37"/>
      <c r="E40" s="99" t="str">
        <f>IF(D37=TRUE,"With Diode","")</f>
        <v/>
      </c>
      <c r="F40" s="100" t="str">
        <f>IF(D37=TRUE,(F27*(H34+B41)^2*B31)+((1-F27)*IF((B37+((B38-B37)*B32*(B29-0.2)-(B38-B37)*B37)/(0.8*B32+(B38-B37)))&lt;B29*B32,(B37+((B38-B37)*B32*(B29-0.2)-(B38-B37)*B37)/(0.8*B32+(B38-B37))),B29*B32)^2/B32)+F33+F34+5/4*0.000000000001*(B39+B40)/2*(3.3/4)*(3/4*3.3)*1000*F30,"")</f>
        <v/>
      </c>
      <c r="G40" s="101" t="str">
        <f>IF(D37=TRUE,"W","")</f>
        <v/>
      </c>
      <c r="H40" s="37"/>
      <c r="I40" s="37"/>
      <c r="J40" s="35"/>
      <c r="K40" s="158" t="str">
        <f>IF(N37=TRUE,"Cdiode at V_AK = 1.5V","")</f>
        <v/>
      </c>
      <c r="L40" s="160" t="str">
        <f>IF(N37=TRUE,220,"")</f>
        <v/>
      </c>
      <c r="M40" s="160" t="str">
        <f>IF(N37=TRUE,"pF","")</f>
        <v/>
      </c>
      <c r="N40" s="39"/>
      <c r="O40" s="150" t="str">
        <f>IF(N37=TRUE,"With Diode","")</f>
        <v/>
      </c>
      <c r="P40" s="151" t="str">
        <f>IF(N37=TRUE,(P27*(R34+L41)^2*L31)+((1-P27)*IF((L37+((L38-L37)*L32*(L29-0.2)-(L38-L37)*L37)/(0.8*L32+(L38-L37)))&lt;L29*L32,(L37+((L38-L37)*L32*(L29-0.2)-(L38-L37)*L37)/(0.8*L32+(L38-L37))),L29*L32)^2/L32)+P33+P34+5/4*0.000000000001*(L39+L40)/2*(3.3/4)*(3/4*3.3)*1000*P30,"")</f>
        <v/>
      </c>
      <c r="Q40" s="152" t="str">
        <f>IF(N37=TRUE,"W","")</f>
        <v/>
      </c>
      <c r="R40" s="39"/>
      <c r="S40" s="39"/>
      <c r="T40" s="32"/>
    </row>
    <row r="41" spans="1:20" x14ac:dyDescent="0.3">
      <c r="A41" s="87" t="str">
        <f>IF(D37=TRUE,"125C diode Ir at V_AK = 3.3V","")</f>
        <v/>
      </c>
      <c r="B41" s="88" t="str">
        <f>IF(D37=TRUE,0.009,"")</f>
        <v/>
      </c>
      <c r="C41" s="89" t="str">
        <f>IF(D37=TRUE,"A","")</f>
        <v/>
      </c>
      <c r="D41" s="37"/>
      <c r="E41" s="43"/>
      <c r="F41" s="58"/>
      <c r="G41" s="37"/>
      <c r="H41" s="37"/>
      <c r="I41" s="37"/>
      <c r="J41" s="35"/>
      <c r="K41" s="137" t="str">
        <f>IF(N37=TRUE,"125C diode Ir at V_AK = 3.3V","")</f>
        <v/>
      </c>
      <c r="L41" s="142" t="str">
        <f>IF(N37=TRUE,0.009,"")</f>
        <v/>
      </c>
      <c r="M41" s="139" t="str">
        <f>IF(N37=TRUE,"A","")</f>
        <v/>
      </c>
      <c r="N41" s="39"/>
      <c r="O41" s="44"/>
      <c r="P41" s="57"/>
      <c r="Q41" s="39"/>
      <c r="R41" s="39"/>
      <c r="S41" s="39"/>
      <c r="T41" s="32"/>
    </row>
    <row r="42" spans="1:20" x14ac:dyDescent="0.3">
      <c r="A42" s="94"/>
      <c r="B42" s="90"/>
      <c r="C42" s="37"/>
      <c r="D42" s="37"/>
      <c r="E42" s="43" t="str">
        <f>IF(D37=TRUE,"Total SW2 Input Power w/Diode","Total SW2 Input Power")</f>
        <v>Total SW2 Input Power</v>
      </c>
      <c r="F42" s="58">
        <f>IF(D37=TRUE,(B28*B29)+F35+(F27*(H34+B41)^2*B31)+((1-F27)*IF((B37+((B38-B37)*B32*(B29-0.2)-(B38-B37)*B37)/(0.8*B32+(B38-B37)))&lt;B29*B32,(B37+((B38-B37)*B32*(B29-0.2)-(B38-B37)*B37)/(0.8*B32+(B38-B37))),B29*B32)^2/B32)+F33+F34+5/4*0.000000000001*(B39+B40)/2*(3.3/4)*(3/4*3.3)*1000*F30+F31,(B28*B29)+F39+F31)</f>
        <v>1.2243262443256828</v>
      </c>
      <c r="G42" s="37" t="s">
        <v>2</v>
      </c>
      <c r="H42" s="37"/>
      <c r="I42" s="37"/>
      <c r="J42" s="32"/>
      <c r="K42" s="145"/>
      <c r="L42" s="140"/>
      <c r="M42" s="39"/>
      <c r="N42" s="39"/>
      <c r="O42" s="44" t="str">
        <f>IF(N37=TRUE,"Total SW3 Input Power w/Diode","Total SW3 Input Power")</f>
        <v>Total SW3 Input Power</v>
      </c>
      <c r="P42" s="57">
        <f>IF(N37=TRUE,(L28*L29)+P35+(P27*(R34+L41)^2*L31)+((1-P27)*IF((L37+((L38-L37)*L32*(L29-0.2)-(L38-L37)*L37)/(0.8*L32+(L38-L37)))&lt;L29*L32,(L37+((L38-L37)*L32*(L29-0.2)-(L38-L37)*L37)/(0.8*L32+(L38-L37))),L29*L32)^2/L32)+P33+P34+5/4*0.000000000001*(L39+L40)/2*(3.3/4)*(3/4*3.3)*1000*P30+P31,(L28*L29)+P39+P31)</f>
        <v>1.1440486107187291</v>
      </c>
      <c r="Q42" s="39" t="s">
        <v>2</v>
      </c>
      <c r="R42" s="39"/>
      <c r="S42" s="39"/>
      <c r="T42" s="32"/>
    </row>
    <row r="43" spans="1:20" x14ac:dyDescent="0.3">
      <c r="A43" s="32"/>
      <c r="B43" s="33"/>
      <c r="C43" s="32"/>
      <c r="D43" s="32"/>
      <c r="E43" s="32"/>
      <c r="F43" s="34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</row>
    <row r="44" spans="1:20" x14ac:dyDescent="0.3">
      <c r="A44" s="181" t="s">
        <v>30</v>
      </c>
      <c r="B44" s="181"/>
      <c r="C44" s="181"/>
      <c r="D44" s="181"/>
      <c r="E44" s="181"/>
      <c r="F44" s="181"/>
      <c r="G44" s="181"/>
      <c r="H44" s="41"/>
      <c r="I44" s="41"/>
      <c r="J44" s="35"/>
      <c r="K44" s="32"/>
      <c r="L44" s="32"/>
      <c r="M44" s="32"/>
      <c r="N44" s="40"/>
      <c r="O44" s="32"/>
      <c r="P44" s="35"/>
      <c r="Q44" s="32"/>
      <c r="R44" s="32"/>
      <c r="S44" s="32"/>
      <c r="T44" s="32"/>
    </row>
    <row r="45" spans="1:20" ht="15" thickBot="1" x14ac:dyDescent="0.35">
      <c r="A45" s="102" t="s">
        <v>18</v>
      </c>
      <c r="B45" s="103">
        <v>3.3</v>
      </c>
      <c r="C45" s="104" t="s">
        <v>1</v>
      </c>
      <c r="D45" s="105"/>
      <c r="E45" s="106" t="s">
        <v>4</v>
      </c>
      <c r="F45" s="107">
        <f>(5-B45+B53)/(5+B53-(B46*(B48+F47)))</f>
        <v>0.3860019499688751</v>
      </c>
      <c r="G45" s="105"/>
      <c r="H45" s="105"/>
      <c r="I45" s="105"/>
      <c r="J45" s="35"/>
      <c r="K45" s="32"/>
      <c r="L45" s="32"/>
      <c r="N45" s="32"/>
      <c r="O45" s="40"/>
      <c r="P45" s="32"/>
      <c r="Q45" s="32"/>
      <c r="R45" s="32"/>
      <c r="S45" s="32"/>
      <c r="T45" s="32"/>
    </row>
    <row r="46" spans="1:20" ht="15" thickBot="1" x14ac:dyDescent="0.35">
      <c r="A46" s="106" t="s">
        <v>41</v>
      </c>
      <c r="B46" s="109">
        <v>4.5999999999999999E-2</v>
      </c>
      <c r="C46" s="110" t="s">
        <v>3</v>
      </c>
      <c r="D46" s="105"/>
      <c r="E46" s="111" t="s">
        <v>37</v>
      </c>
      <c r="F46" s="163">
        <v>4.7</v>
      </c>
      <c r="G46" s="112" t="s">
        <v>38</v>
      </c>
      <c r="H46" s="108"/>
      <c r="I46" s="105"/>
      <c r="K46" s="61"/>
      <c r="L46" s="32"/>
      <c r="M46" s="62"/>
      <c r="N46" s="59"/>
      <c r="O46" s="60"/>
      <c r="P46" s="62"/>
      <c r="R46" s="59"/>
      <c r="S46" s="32"/>
      <c r="T46" s="32"/>
    </row>
    <row r="47" spans="1:20" ht="15" thickBot="1" x14ac:dyDescent="0.35">
      <c r="A47" s="106"/>
      <c r="B47" s="126"/>
      <c r="C47" s="105"/>
      <c r="D47" s="105"/>
      <c r="E47" s="114" t="s">
        <v>20</v>
      </c>
      <c r="F47" s="109">
        <v>0.217</v>
      </c>
      <c r="G47" s="115" t="s">
        <v>12</v>
      </c>
      <c r="H47" s="113"/>
      <c r="I47" s="113"/>
      <c r="K47" s="61"/>
      <c r="M47" s="62"/>
      <c r="N47" s="59"/>
      <c r="O47" s="60"/>
      <c r="P47" s="62"/>
      <c r="R47" s="59"/>
      <c r="S47" s="34"/>
      <c r="T47" s="32"/>
    </row>
    <row r="48" spans="1:20" x14ac:dyDescent="0.3">
      <c r="A48" s="116" t="s">
        <v>22</v>
      </c>
      <c r="B48" s="117">
        <f>0.634/1</f>
        <v>0.63400000000000001</v>
      </c>
      <c r="C48" s="118" t="s">
        <v>12</v>
      </c>
      <c r="D48" s="123"/>
      <c r="E48" s="106" t="s">
        <v>9</v>
      </c>
      <c r="F48" s="122">
        <f>IF(B8&gt;18.9,1000,2300)</f>
        <v>2300</v>
      </c>
      <c r="G48" s="105" t="s">
        <v>33</v>
      </c>
      <c r="H48" s="170" t="s">
        <v>65</v>
      </c>
      <c r="I48" s="170"/>
      <c r="K48" s="61"/>
      <c r="L48" s="32"/>
      <c r="M48" s="62"/>
      <c r="N48" s="59"/>
      <c r="O48" s="60"/>
      <c r="P48" s="62"/>
      <c r="R48" s="59"/>
      <c r="S48" s="32"/>
      <c r="T48" s="32"/>
    </row>
    <row r="49" spans="1:20" x14ac:dyDescent="0.3">
      <c r="A49" s="116" t="s">
        <v>7</v>
      </c>
      <c r="B49" s="117">
        <v>5</v>
      </c>
      <c r="C49" s="118" t="s">
        <v>34</v>
      </c>
      <c r="D49" s="105"/>
      <c r="E49" s="106" t="s">
        <v>35</v>
      </c>
      <c r="F49" s="107">
        <f>H52^2*F47</f>
        <v>7.0342380638316977E-4</v>
      </c>
      <c r="G49" s="105" t="s">
        <v>2</v>
      </c>
      <c r="H49" s="169">
        <f>(B45-B46*(B48+F47))*(5+B53-B45)/(5+B53-B46*B48)/(0.000001*F46*1000*F48)</f>
        <v>0.11621967275187609</v>
      </c>
      <c r="I49" s="169"/>
      <c r="K49" s="61"/>
      <c r="L49" s="32"/>
      <c r="M49" s="62"/>
      <c r="N49" s="59"/>
      <c r="O49" s="60"/>
      <c r="P49" s="62"/>
      <c r="R49" s="59"/>
      <c r="S49" s="32"/>
      <c r="T49" s="32"/>
    </row>
    <row r="50" spans="1:20" x14ac:dyDescent="0.3">
      <c r="A50" s="116" t="s">
        <v>8</v>
      </c>
      <c r="B50" s="117">
        <v>2</v>
      </c>
      <c r="C50" s="118" t="s">
        <v>34</v>
      </c>
      <c r="D50" s="105"/>
      <c r="E50" s="119" t="s">
        <v>15</v>
      </c>
      <c r="F50" s="120">
        <f>(F45*SQRT(B46^2+H49^2/12)^2*B48)</f>
        <v>7.9329749872021149E-4</v>
      </c>
      <c r="G50" s="121" t="s">
        <v>2</v>
      </c>
      <c r="H50" s="123"/>
      <c r="I50" s="123"/>
      <c r="K50" s="61"/>
      <c r="L50" s="32"/>
      <c r="M50" s="62"/>
      <c r="N50" s="59"/>
      <c r="O50" s="60"/>
      <c r="P50" s="62"/>
      <c r="R50" s="59"/>
      <c r="S50" s="56"/>
      <c r="T50" s="32"/>
    </row>
    <row r="51" spans="1:20" x14ac:dyDescent="0.3">
      <c r="A51" s="123"/>
      <c r="B51" s="126"/>
      <c r="C51" s="123"/>
      <c r="D51" s="105"/>
      <c r="E51" s="119" t="s">
        <v>14</v>
      </c>
      <c r="F51" s="120">
        <f>0.5*B45*B46*((B49+B50)*0.000000001)*(F48*1000)</f>
        <v>1.2219900000000001E-3</v>
      </c>
      <c r="G51" s="121" t="s">
        <v>2</v>
      </c>
      <c r="H51" s="168" t="s">
        <v>40</v>
      </c>
      <c r="I51" s="168"/>
      <c r="K51" s="61"/>
      <c r="L51" s="32"/>
      <c r="M51" s="62"/>
      <c r="N51" s="59"/>
      <c r="O51" s="60"/>
      <c r="P51" s="62"/>
      <c r="R51" s="59"/>
      <c r="S51" s="32"/>
      <c r="T51" s="32"/>
    </row>
    <row r="52" spans="1:20" ht="15" thickBot="1" x14ac:dyDescent="0.35">
      <c r="A52" s="119" t="s">
        <v>10</v>
      </c>
      <c r="B52" s="124">
        <v>4.0000000000000001E-3</v>
      </c>
      <c r="C52" s="121" t="s">
        <v>3</v>
      </c>
      <c r="D52" s="123"/>
      <c r="E52" s="119" t="s">
        <v>16</v>
      </c>
      <c r="F52" s="120">
        <f>B45*B52</f>
        <v>1.32E-2</v>
      </c>
      <c r="G52" s="121" t="s">
        <v>2</v>
      </c>
      <c r="H52" s="169">
        <f>SQRT(B46^2+H49^2/12)</f>
        <v>5.693491337670379E-2</v>
      </c>
      <c r="I52" s="169"/>
      <c r="K52" s="61"/>
      <c r="L52" s="59"/>
      <c r="M52" s="62"/>
      <c r="N52" s="59"/>
      <c r="O52" s="60"/>
      <c r="P52" s="62"/>
      <c r="R52" s="59"/>
      <c r="S52" s="32"/>
      <c r="T52" s="32"/>
    </row>
    <row r="53" spans="1:20" ht="15" thickBot="1" x14ac:dyDescent="0.35">
      <c r="A53" s="106" t="s">
        <v>11</v>
      </c>
      <c r="B53" s="125">
        <v>0.35</v>
      </c>
      <c r="C53" s="110" t="s">
        <v>1</v>
      </c>
      <c r="D53" s="105"/>
      <c r="E53" s="106" t="s">
        <v>17</v>
      </c>
      <c r="F53" s="107">
        <f>(1-F45)*B53*B46</f>
        <v>9.8853686055011096E-3</v>
      </c>
      <c r="G53" s="105" t="s">
        <v>2</v>
      </c>
      <c r="H53" s="105"/>
      <c r="I53" s="105"/>
      <c r="J53" s="32"/>
      <c r="K53" s="32"/>
      <c r="L53" s="35"/>
      <c r="M53" s="32"/>
      <c r="N53" s="32"/>
      <c r="P53" s="32"/>
      <c r="Q53" s="32"/>
      <c r="R53" s="32"/>
      <c r="S53" s="32"/>
      <c r="T53" s="32"/>
    </row>
    <row r="54" spans="1:20" x14ac:dyDescent="0.3">
      <c r="A54" s="123"/>
      <c r="B54" s="126"/>
      <c r="C54" s="123"/>
      <c r="D54" s="105"/>
      <c r="E54" s="119" t="s">
        <v>44</v>
      </c>
      <c r="F54" s="120">
        <f>F51+F50</f>
        <v>2.0152874987202116E-3</v>
      </c>
      <c r="G54" s="121" t="s">
        <v>2</v>
      </c>
      <c r="H54" s="168" t="s">
        <v>39</v>
      </c>
      <c r="I54" s="168"/>
      <c r="J54" s="32"/>
      <c r="K54" s="32"/>
      <c r="L54" s="35"/>
      <c r="M54" s="32"/>
      <c r="N54" s="32"/>
      <c r="P54" s="32"/>
      <c r="Q54" s="32"/>
      <c r="R54" s="32"/>
      <c r="S54" s="32"/>
      <c r="T54" s="32"/>
    </row>
    <row r="55" spans="1:20" x14ac:dyDescent="0.3">
      <c r="A55" s="123"/>
      <c r="B55" s="126"/>
      <c r="C55" s="123"/>
      <c r="D55" s="105"/>
      <c r="E55" s="127" t="s">
        <v>64</v>
      </c>
      <c r="F55" s="128">
        <f>F54+F52</f>
        <v>1.5215287498720212E-2</v>
      </c>
      <c r="G55" s="129" t="s">
        <v>2</v>
      </c>
      <c r="H55" s="169">
        <f>B46+H49/2</f>
        <v>0.10410983637593804</v>
      </c>
      <c r="I55" s="169"/>
      <c r="J55" s="32"/>
      <c r="K55" s="32"/>
      <c r="L55" s="40"/>
      <c r="M55" s="32"/>
      <c r="N55" s="32"/>
      <c r="O55" s="32"/>
      <c r="P55" s="32"/>
      <c r="Q55" s="32"/>
      <c r="R55" s="32"/>
      <c r="S55" s="32"/>
      <c r="T55" s="32"/>
    </row>
    <row r="56" spans="1:20" x14ac:dyDescent="0.3">
      <c r="A56" s="123"/>
      <c r="B56" s="126"/>
      <c r="C56" s="123"/>
      <c r="D56" s="105"/>
      <c r="E56" s="106" t="s">
        <v>66</v>
      </c>
      <c r="F56" s="107">
        <f>(5*B46)+F55+F53+F49</f>
        <v>0.25580407991060444</v>
      </c>
      <c r="G56" s="105" t="s">
        <v>2</v>
      </c>
      <c r="H56" s="105"/>
      <c r="I56" s="105"/>
      <c r="J56" s="32"/>
      <c r="O56" s="32"/>
      <c r="P56" s="32"/>
      <c r="Q56" s="32"/>
      <c r="R56" s="32"/>
      <c r="S56" s="32"/>
      <c r="T56" s="32"/>
    </row>
    <row r="57" spans="1:20" x14ac:dyDescent="0.3">
      <c r="A57" s="52"/>
      <c r="B57" s="54"/>
      <c r="C57" s="53"/>
      <c r="D57" s="53"/>
      <c r="H57" s="53"/>
      <c r="I57" s="53"/>
      <c r="J57" s="32"/>
      <c r="K57" s="32"/>
      <c r="L57" s="20"/>
      <c r="O57" s="32"/>
      <c r="P57" s="35"/>
      <c r="Q57" s="32"/>
      <c r="R57" s="32"/>
      <c r="S57" s="32"/>
      <c r="T57" s="32"/>
    </row>
    <row r="58" spans="1:20" x14ac:dyDescent="0.3">
      <c r="A58" s="52"/>
      <c r="B58" s="54"/>
      <c r="C58" s="53"/>
      <c r="D58" s="53"/>
      <c r="H58" s="53"/>
      <c r="I58" s="53"/>
      <c r="J58" s="32"/>
      <c r="K58" s="32"/>
      <c r="L58" s="35"/>
      <c r="M58" s="32"/>
      <c r="N58" s="32"/>
      <c r="O58" s="32"/>
      <c r="P58" s="35"/>
      <c r="Q58" s="32"/>
      <c r="R58" s="32"/>
      <c r="S58" s="32"/>
      <c r="T58" s="32"/>
    </row>
    <row r="59" spans="1:20" x14ac:dyDescent="0.3">
      <c r="A59" s="32"/>
      <c r="B59" s="33"/>
      <c r="C59" s="32"/>
      <c r="D59" s="32"/>
      <c r="E59" s="32"/>
      <c r="F59" s="34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</row>
  </sheetData>
  <sheetProtection algorithmName="SHA-512" hashValue="ZXaUR8cAShCLBeK3Ek+VB+vl52ClgjXj8hVxOEd6T9T9X4WoPEGKd6dEDQd2cD4JO33u1VpO3s4w+N8bBNvmXw==" saltValue="atvUfGceg6F2QETrXkqfVQ==" spinCount="100000" sheet="1" objects="1" scenarios="1" selectLockedCells="1"/>
  <mergeCells count="43">
    <mergeCell ref="L1:M1"/>
    <mergeCell ref="O1:P1"/>
    <mergeCell ref="H2:J2"/>
    <mergeCell ref="O2:P2"/>
    <mergeCell ref="H3:J3"/>
    <mergeCell ref="O3:P3"/>
    <mergeCell ref="K26:Q26"/>
    <mergeCell ref="H30:I30"/>
    <mergeCell ref="R30:S30"/>
    <mergeCell ref="H13:I13"/>
    <mergeCell ref="H14:I14"/>
    <mergeCell ref="H16:I16"/>
    <mergeCell ref="H17:I17"/>
    <mergeCell ref="H20:I20"/>
    <mergeCell ref="H21:I21"/>
    <mergeCell ref="R36:S36"/>
    <mergeCell ref="H37:I37"/>
    <mergeCell ref="R37:S37"/>
    <mergeCell ref="A44:G44"/>
    <mergeCell ref="H31:I31"/>
    <mergeCell ref="R31:S31"/>
    <mergeCell ref="H33:I33"/>
    <mergeCell ref="R33:S33"/>
    <mergeCell ref="H34:I34"/>
    <mergeCell ref="R34:S34"/>
    <mergeCell ref="O38:Q38"/>
    <mergeCell ref="H55:I55"/>
    <mergeCell ref="H48:I48"/>
    <mergeCell ref="H49:I49"/>
    <mergeCell ref="E38:G38"/>
    <mergeCell ref="H51:I51"/>
    <mergeCell ref="A11:C11"/>
    <mergeCell ref="H10:I10"/>
    <mergeCell ref="H11:I11"/>
    <mergeCell ref="H52:I52"/>
    <mergeCell ref="H54:I54"/>
    <mergeCell ref="E18:G18"/>
    <mergeCell ref="E21:G21"/>
    <mergeCell ref="A35:B35"/>
    <mergeCell ref="H36:I36"/>
    <mergeCell ref="H22:I22"/>
    <mergeCell ref="H23:I23"/>
    <mergeCell ref="A26:G26"/>
  </mergeCell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Visio.Drawing.11" shapeId="7169" r:id="rId4">
          <objectPr defaultSize="0" r:id="rId5">
            <anchor moveWithCells="1">
              <from>
                <xdr:col>10</xdr:col>
                <xdr:colOff>30480</xdr:colOff>
                <xdr:row>3</xdr:row>
                <xdr:rowOff>38100</xdr:rowOff>
              </from>
              <to>
                <xdr:col>14</xdr:col>
                <xdr:colOff>480060</xdr:colOff>
                <xdr:row>24</xdr:row>
                <xdr:rowOff>152400</xdr:rowOff>
              </to>
            </anchor>
          </objectPr>
        </oleObject>
      </mc:Choice>
      <mc:Fallback>
        <oleObject progId="Visio.Drawing.11" shapeId="7169" r:id="rId4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70" r:id="rId6" name="Check Box 2">
              <controlPr defaultSize="0" autoFill="0" autoLine="0" autoPict="0">
                <anchor moveWithCells="1">
                  <from>
                    <xdr:col>0</xdr:col>
                    <xdr:colOff>7620</xdr:colOff>
                    <xdr:row>33</xdr:row>
                    <xdr:rowOff>182880</xdr:rowOff>
                  </from>
                  <to>
                    <xdr:col>0</xdr:col>
                    <xdr:colOff>228600</xdr:colOff>
                    <xdr:row>35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7" name="Check Box 3">
              <controlPr defaultSize="0" autoFill="0" autoLine="0" autoPict="0">
                <anchor moveWithCells="1">
                  <from>
                    <xdr:col>10</xdr:col>
                    <xdr:colOff>0</xdr:colOff>
                    <xdr:row>33</xdr:row>
                    <xdr:rowOff>182880</xdr:rowOff>
                  </from>
                  <to>
                    <xdr:col>10</xdr:col>
                    <xdr:colOff>220980</xdr:colOff>
                    <xdr:row>35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CBC98A9EA4514ABA8138BB52F75E7B" ma:contentTypeVersion="0" ma:contentTypeDescription="Create a new document." ma:contentTypeScope="" ma:versionID="39289380906a3aa8ee186d6580df122a">
  <xsd:schema xmlns:xsd="http://www.w3.org/2001/XMLSchema" xmlns:xs="http://www.w3.org/2001/XMLSchema" xmlns:p="http://schemas.microsoft.com/office/2006/metadata/properties" xmlns:ns2="0e5c2986-43cc-4594-b073-991c8df79236" targetNamespace="http://schemas.microsoft.com/office/2006/metadata/properties" ma:root="true" ma:fieldsID="78fed8ac8df4d9a6f8209b06c67f6ac0" ns2:_="">
    <xsd:import namespace="0e5c2986-43cc-4594-b073-991c8df7923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5c2986-43cc-4594-b073-991c8df7923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e5c2986-43cc-4594-b073-991c8df79236">JDYAQVEH6RXH-1192390018-2384</_dlc_DocId>
    <_dlc_DocIdUrl xmlns="0e5c2986-43cc-4594-b073-991c8df79236">
      <Url>http://theconnection.onsemi.com/business/asg2/EG/Apps/Restricted-Area/_layouts/15/DocIdRedir.aspx?ID=JDYAQVEH6RXH-1192390018-2384</Url>
      <Description>JDYAQVEH6RXH-1192390018-2384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8EC5CE3-9849-4EC1-9AC2-4B0432B570C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13F2035C-1C56-4C24-8468-C30F4F672D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5c2986-43cc-4594-b073-991c8df792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8776291-DE45-4FE9-BA5C-2AB0576F560A}">
  <ds:schemaRefs>
    <ds:schemaRef ds:uri="http://schemas.microsoft.com/office/infopath/2007/PartnerControls"/>
    <ds:schemaRef ds:uri="http://purl.org/dc/dcmitype/"/>
    <ds:schemaRef ds:uri="http://purl.org/dc/terms/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0e5c2986-43cc-4594-b073-991c8df79236"/>
  </ds:schemaRefs>
</ds:datastoreItem>
</file>

<file path=customXml/itemProps4.xml><?xml version="1.0" encoding="utf-8"?>
<ds:datastoreItem xmlns:ds="http://schemas.openxmlformats.org/officeDocument/2006/customXml" ds:itemID="{6C835A96-BD9F-43E5-BC1D-22B8F3B2359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NCV97400 Schematic</vt:lpstr>
      <vt:lpstr>NCV97400 Worst case</vt:lpstr>
      <vt:lpstr>NCV97400 Typical</vt:lpstr>
    </vt:vector>
  </TitlesOfParts>
  <Company>ON Semiconductor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NCV97200 &amp; NCV97400 Thermal Calculation Tool Rev 7</dc:title>
  <dc:creator>Matt Majeika</dc:creator>
  <cp:keywords>Automotive</cp:keywords>
  <cp:lastModifiedBy>Philippe Quarmeau</cp:lastModifiedBy>
  <dcterms:created xsi:type="dcterms:W3CDTF">2014-10-28T17:40:23Z</dcterms:created>
  <dcterms:modified xsi:type="dcterms:W3CDTF">2019-05-21T19:59:00Z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0x0101004FCBC98A9EA4514ABA8138BB52F75E7B</vt:lpwstr>
  </property>
  <property fmtid="{D5CDD505-2E9C-101B-9397-08002B2CF9AE}" pid="3" name="_dlc_DocIdItemGuid">
    <vt:lpwstr>7cd0d5d3-5246-4cbf-ba6c-bb8346b07f6d</vt:lpwstr>
  </property>
</Properties>
</file>