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0985" windowHeight="95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60" i="1" l="1"/>
  <c r="E60" i="1"/>
  <c r="H53" i="1"/>
  <c r="E53" i="1"/>
  <c r="H52" i="1"/>
  <c r="E52" i="1"/>
  <c r="E54" i="1"/>
  <c r="E51" i="1"/>
  <c r="B69" i="1"/>
  <c r="E50" i="1" s="1"/>
  <c r="B67" i="1"/>
  <c r="H50" i="1" l="1"/>
  <c r="H56" i="1" s="1"/>
  <c r="H59" i="1" s="1"/>
  <c r="D69" i="1"/>
  <c r="B44" i="1" s="1"/>
  <c r="D67" i="1"/>
  <c r="B42" i="1" s="1"/>
  <c r="E56" i="1"/>
  <c r="E59" i="1" s="1"/>
  <c r="E61" i="1" s="1"/>
  <c r="E62" i="1" s="1"/>
  <c r="H61" i="1" l="1"/>
  <c r="H62" i="1" s="1"/>
  <c r="H63" i="1" s="1"/>
  <c r="E63" i="1"/>
</calcChain>
</file>

<file path=xl/sharedStrings.xml><?xml version="1.0" encoding="utf-8"?>
<sst xmlns="http://schemas.openxmlformats.org/spreadsheetml/2006/main" count="91" uniqueCount="59">
  <si>
    <t>Input OVP resistor calculations</t>
  </si>
  <si>
    <t>Jim Young</t>
  </si>
  <si>
    <t>k ohms</t>
  </si>
  <si>
    <t>volts</t>
  </si>
  <si>
    <t>Vt</t>
  </si>
  <si>
    <t>Vdc</t>
  </si>
  <si>
    <t>Vac</t>
  </si>
  <si>
    <t>Vr</t>
  </si>
  <si>
    <t>mA</t>
  </si>
  <si>
    <t>Current for first comparator divider</t>
  </si>
  <si>
    <t>Current for first comparator pull up</t>
  </si>
  <si>
    <t>Current for RC charging</t>
  </si>
  <si>
    <t>Current for second comparator divider</t>
  </si>
  <si>
    <t>Current for second comparator pull up</t>
  </si>
  <si>
    <t>Total circuit draw</t>
  </si>
  <si>
    <t>volts ave</t>
  </si>
  <si>
    <t>V pk</t>
  </si>
  <si>
    <t>watts</t>
  </si>
  <si>
    <t>Units</t>
  </si>
  <si>
    <t>Vcc bias resistor calculations</t>
  </si>
  <si>
    <t>R1</t>
  </si>
  <si>
    <t>R2</t>
  </si>
  <si>
    <t>R3</t>
  </si>
  <si>
    <t>R4</t>
  </si>
  <si>
    <t>R5</t>
  </si>
  <si>
    <t>R6</t>
  </si>
  <si>
    <t>R7</t>
  </si>
  <si>
    <t>Vcc</t>
  </si>
  <si>
    <t>Vrect</t>
  </si>
  <si>
    <t>(Reference designators per schematic above)</t>
  </si>
  <si>
    <t>Total input bridge rectifier voltage drop</t>
  </si>
  <si>
    <t>Vpk</t>
  </si>
  <si>
    <t>TRIP</t>
  </si>
  <si>
    <t>RESET</t>
  </si>
  <si>
    <t>Vmax</t>
  </si>
  <si>
    <t>Vrms</t>
  </si>
  <si>
    <t>Maximum voltage at input for dissipation calculations</t>
  </si>
  <si>
    <t>Cells below will be hidden</t>
  </si>
  <si>
    <t>Vmin</t>
  </si>
  <si>
    <t>Maximum total resistance to supply bias</t>
  </si>
  <si>
    <t>Green boxes below are for input data</t>
  </si>
  <si>
    <t>Orange boxes below show calculation results</t>
  </si>
  <si>
    <t>ENTER Data in green boxes</t>
  </si>
  <si>
    <t>Calculation results of Input Voltage to TRIP and RESET Input OVP circuit</t>
  </si>
  <si>
    <t>Current for zener reference</t>
  </si>
  <si>
    <t>LM2903 Comparator and zener</t>
  </si>
  <si>
    <t>NCS2220 Comparator and NCP431 reference</t>
  </si>
  <si>
    <t>Peak rectified voltage</t>
  </si>
  <si>
    <t>Dissipation in R15</t>
  </si>
  <si>
    <t>Number of 1206 resistors</t>
  </si>
  <si>
    <t>Value of resistors forming R15</t>
  </si>
  <si>
    <t>Bias current for comparator</t>
  </si>
  <si>
    <t>January 2014</t>
  </si>
  <si>
    <t>Typical Application Schematic</t>
  </si>
  <si>
    <t>(Voltage required to shut down circuit)</t>
  </si>
  <si>
    <t>(Voltage required for restart after shut down)</t>
  </si>
  <si>
    <t xml:space="preserve">Minimum voltage for Input OVP to operate.  </t>
  </si>
  <si>
    <t>Note, if circuit not fully biased when converter starts, it may not operate properly</t>
  </si>
  <si>
    <t>Rev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</si>
</sst>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5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ill="1"/>
    <xf numFmtId="164" fontId="0" fillId="3" borderId="0" xfId="0" applyNumberFormat="1" applyFill="1"/>
    <xf numFmtId="15" fontId="0" fillId="0" borderId="0" xfId="0" quotePrefix="1" applyNumberFormat="1"/>
    <xf numFmtId="0" fontId="3" fillId="0" borderId="0" xfId="0" applyFont="1"/>
    <xf numFmtId="0" fontId="5" fillId="0" borderId="0" xfId="0" applyFont="1"/>
    <xf numFmtId="0" fontId="0" fillId="4" borderId="0" xfId="0" applyFill="1" applyProtection="1">
      <protection hidden="1"/>
    </xf>
    <xf numFmtId="2" fontId="0" fillId="4" borderId="0" xfId="0" applyNumberFormat="1" applyFill="1" applyProtection="1">
      <protection hidden="1"/>
    </xf>
    <xf numFmtId="0" fontId="0" fillId="2" borderId="0" xfId="0" applyFill="1" applyProtection="1">
      <protection locked="0"/>
    </xf>
    <xf numFmtId="0" fontId="4" fillId="0" borderId="0" xfId="0" applyFont="1"/>
    <xf numFmtId="0" fontId="0" fillId="0" borderId="3" xfId="0" applyFill="1" applyBorder="1"/>
    <xf numFmtId="0" fontId="0" fillId="0" borderId="4" xfId="0" applyBorder="1"/>
    <xf numFmtId="165" fontId="0" fillId="0" borderId="3" xfId="0" applyNumberFormat="1" applyFill="1" applyBorder="1"/>
    <xf numFmtId="165" fontId="0" fillId="3" borderId="3" xfId="0" applyNumberFormat="1" applyFill="1" applyBorder="1"/>
    <xf numFmtId="0" fontId="0" fillId="0" borderId="3" xfId="0" applyBorder="1"/>
    <xf numFmtId="1" fontId="0" fillId="3" borderId="3" xfId="0" applyNumberFormat="1" applyFill="1" applyBorder="1"/>
    <xf numFmtId="2" fontId="0" fillId="3" borderId="3" xfId="0" applyNumberFormat="1" applyFill="1" applyBorder="1"/>
    <xf numFmtId="0" fontId="0" fillId="3" borderId="3" xfId="0" applyFill="1" applyBorder="1"/>
    <xf numFmtId="164" fontId="0" fillId="3" borderId="5" xfId="0" applyNumberFormat="1" applyFill="1" applyBorder="1"/>
    <xf numFmtId="0" fontId="0" fillId="0" borderId="6" xfId="0" applyBorder="1"/>
    <xf numFmtId="0" fontId="0" fillId="2" borderId="0" xfId="0" applyFill="1" applyAlignment="1"/>
    <xf numFmtId="0" fontId="0" fillId="0" borderId="0" xfId="0" applyAlignment="1"/>
    <xf numFmtId="0" fontId="0" fillId="3" borderId="0" xfId="0" applyFill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4</xdr:row>
      <xdr:rowOff>9526</xdr:rowOff>
    </xdr:from>
    <xdr:to>
      <xdr:col>15</xdr:col>
      <xdr:colOff>409575</xdr:colOff>
      <xdr:row>31</xdr:row>
      <xdr:rowOff>142342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1" y="390526"/>
          <a:ext cx="9324974" cy="527631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workbookViewId="0">
      <selection activeCell="D42" sqref="D42"/>
    </sheetView>
  </sheetViews>
  <sheetFormatPr defaultRowHeight="15" x14ac:dyDescent="0.25"/>
  <cols>
    <col min="7" max="7" width="9.7109375" bestFit="1" customWidth="1"/>
  </cols>
  <sheetData>
    <row r="1" spans="1:15" ht="31.5" x14ac:dyDescent="0.5">
      <c r="A1" s="8" t="s">
        <v>0</v>
      </c>
      <c r="I1" t="s">
        <v>58</v>
      </c>
      <c r="K1" s="6" t="s">
        <v>52</v>
      </c>
      <c r="O1" t="s">
        <v>1</v>
      </c>
    </row>
    <row r="2" spans="1:15" x14ac:dyDescent="0.25">
      <c r="A2" s="2"/>
      <c r="G2" s="1"/>
    </row>
    <row r="3" spans="1:15" x14ac:dyDescent="0.25">
      <c r="A3" s="2"/>
      <c r="G3" s="1"/>
    </row>
    <row r="4" spans="1:15" ht="28.5" x14ac:dyDescent="0.45">
      <c r="E4" s="7" t="s">
        <v>53</v>
      </c>
      <c r="G4" s="1"/>
    </row>
    <row r="5" spans="1:15" x14ac:dyDescent="0.25">
      <c r="G5" s="1"/>
    </row>
    <row r="6" spans="1:15" x14ac:dyDescent="0.25">
      <c r="G6" s="1"/>
    </row>
    <row r="7" spans="1:15" x14ac:dyDescent="0.25">
      <c r="G7" s="1"/>
    </row>
    <row r="8" spans="1:15" x14ac:dyDescent="0.25">
      <c r="G8" s="1"/>
    </row>
    <row r="9" spans="1:15" x14ac:dyDescent="0.25">
      <c r="G9" s="1"/>
    </row>
    <row r="10" spans="1:15" x14ac:dyDescent="0.25">
      <c r="G10" s="1"/>
    </row>
    <row r="11" spans="1:15" x14ac:dyDescent="0.25">
      <c r="G11" s="1"/>
    </row>
    <row r="12" spans="1:15" x14ac:dyDescent="0.25">
      <c r="G12" s="1"/>
    </row>
    <row r="13" spans="1:15" x14ac:dyDescent="0.25">
      <c r="G13" s="1"/>
    </row>
    <row r="14" spans="1:15" x14ac:dyDescent="0.25">
      <c r="G14" s="1"/>
    </row>
    <row r="15" spans="1:15" x14ac:dyDescent="0.25">
      <c r="G15" s="1"/>
    </row>
    <row r="16" spans="1:15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  <row r="20" spans="7:7" x14ac:dyDescent="0.25">
      <c r="G20" s="1"/>
    </row>
    <row r="21" spans="7:7" x14ac:dyDescent="0.25">
      <c r="G21" s="1"/>
    </row>
    <row r="22" spans="7:7" x14ac:dyDescent="0.25">
      <c r="G22" s="1"/>
    </row>
    <row r="23" spans="7:7" x14ac:dyDescent="0.25">
      <c r="G23" s="1"/>
    </row>
    <row r="24" spans="7:7" x14ac:dyDescent="0.25">
      <c r="G24" s="1"/>
    </row>
    <row r="25" spans="7:7" x14ac:dyDescent="0.25">
      <c r="G25" s="1"/>
    </row>
    <row r="26" spans="7:7" x14ac:dyDescent="0.25">
      <c r="G26" s="1"/>
    </row>
    <row r="27" spans="7:7" x14ac:dyDescent="0.25">
      <c r="G27" s="1"/>
    </row>
    <row r="28" spans="7:7" x14ac:dyDescent="0.25">
      <c r="G28" s="1"/>
    </row>
    <row r="29" spans="7:7" x14ac:dyDescent="0.25">
      <c r="G29" s="1"/>
    </row>
    <row r="30" spans="7:7" x14ac:dyDescent="0.25">
      <c r="G30" s="1"/>
    </row>
    <row r="31" spans="7:7" x14ac:dyDescent="0.25">
      <c r="G31" s="1"/>
    </row>
    <row r="32" spans="7:7" x14ac:dyDescent="0.25">
      <c r="G32" s="1"/>
    </row>
    <row r="33" spans="1:12" x14ac:dyDescent="0.25">
      <c r="A33" s="23" t="s">
        <v>40</v>
      </c>
      <c r="B33" s="24"/>
      <c r="C33" s="24"/>
      <c r="D33" s="24"/>
      <c r="F33" s="25" t="s">
        <v>41</v>
      </c>
      <c r="G33" s="25"/>
      <c r="H33" s="25"/>
      <c r="I33" s="25"/>
      <c r="J33" s="25"/>
    </row>
    <row r="34" spans="1:12" x14ac:dyDescent="0.25">
      <c r="G34" s="1"/>
    </row>
    <row r="35" spans="1:12" x14ac:dyDescent="0.25">
      <c r="A35" s="3" t="s">
        <v>42</v>
      </c>
      <c r="F35" t="s">
        <v>29</v>
      </c>
      <c r="G35" s="1"/>
    </row>
    <row r="36" spans="1:12" x14ac:dyDescent="0.25">
      <c r="A36" t="s">
        <v>20</v>
      </c>
      <c r="B36" s="11">
        <v>511</v>
      </c>
      <c r="C36" t="s">
        <v>2</v>
      </c>
      <c r="E36" t="s">
        <v>24</v>
      </c>
      <c r="F36" s="11">
        <v>430</v>
      </c>
      <c r="G36" t="s">
        <v>2</v>
      </c>
      <c r="I36" t="s">
        <v>34</v>
      </c>
      <c r="J36" s="11">
        <v>310</v>
      </c>
      <c r="K36" t="s">
        <v>35</v>
      </c>
      <c r="L36" t="s">
        <v>36</v>
      </c>
    </row>
    <row r="37" spans="1:12" x14ac:dyDescent="0.25">
      <c r="A37" t="s">
        <v>21</v>
      </c>
      <c r="B37" s="11">
        <v>511</v>
      </c>
      <c r="C37" t="s">
        <v>2</v>
      </c>
      <c r="E37" t="s">
        <v>25</v>
      </c>
      <c r="F37" s="11">
        <v>2000</v>
      </c>
      <c r="G37" t="s">
        <v>2</v>
      </c>
      <c r="I37" t="s">
        <v>28</v>
      </c>
      <c r="J37" s="11">
        <v>2</v>
      </c>
      <c r="K37" t="s">
        <v>3</v>
      </c>
      <c r="L37" t="s">
        <v>30</v>
      </c>
    </row>
    <row r="38" spans="1:12" x14ac:dyDescent="0.25">
      <c r="A38" t="s">
        <v>22</v>
      </c>
      <c r="B38" s="11">
        <v>10</v>
      </c>
      <c r="C38" t="s">
        <v>2</v>
      </c>
      <c r="E38" t="s">
        <v>26</v>
      </c>
      <c r="F38" s="11">
        <v>1500</v>
      </c>
      <c r="G38" t="s">
        <v>2</v>
      </c>
      <c r="I38" t="s">
        <v>38</v>
      </c>
      <c r="J38" s="11">
        <v>250</v>
      </c>
      <c r="K38" t="s">
        <v>15</v>
      </c>
      <c r="L38" t="s">
        <v>56</v>
      </c>
    </row>
    <row r="39" spans="1:12" x14ac:dyDescent="0.25">
      <c r="A39" t="s">
        <v>23</v>
      </c>
      <c r="B39" s="11">
        <v>100</v>
      </c>
      <c r="C39" t="s">
        <v>2</v>
      </c>
      <c r="E39" t="s">
        <v>27</v>
      </c>
      <c r="F39" s="11">
        <v>5</v>
      </c>
      <c r="G39" t="s">
        <v>3</v>
      </c>
      <c r="L39" t="s">
        <v>57</v>
      </c>
    </row>
    <row r="40" spans="1:12" x14ac:dyDescent="0.25">
      <c r="B40" s="4"/>
      <c r="F40" s="4"/>
    </row>
    <row r="41" spans="1:12" x14ac:dyDescent="0.25">
      <c r="A41" s="3" t="s">
        <v>43</v>
      </c>
    </row>
    <row r="42" spans="1:12" x14ac:dyDescent="0.25">
      <c r="A42" t="s">
        <v>32</v>
      </c>
      <c r="B42" s="5">
        <f>D67*0.707</f>
        <v>300.0769519492294</v>
      </c>
      <c r="C42" s="4" t="s">
        <v>6</v>
      </c>
      <c r="D42" t="s">
        <v>54</v>
      </c>
    </row>
    <row r="43" spans="1:12" x14ac:dyDescent="0.25">
      <c r="B43" s="4"/>
      <c r="C43" s="4"/>
    </row>
    <row r="44" spans="1:12" x14ac:dyDescent="0.25">
      <c r="A44" t="s">
        <v>33</v>
      </c>
      <c r="B44" s="5">
        <f>D69*0.707</f>
        <v>285.31969031887388</v>
      </c>
      <c r="C44" s="4" t="s">
        <v>6</v>
      </c>
      <c r="D44" t="s">
        <v>55</v>
      </c>
    </row>
    <row r="47" spans="1:12" ht="18.75" x14ac:dyDescent="0.3">
      <c r="A47" s="12" t="s">
        <v>19</v>
      </c>
    </row>
    <row r="48" spans="1:12" ht="78" customHeight="1" x14ac:dyDescent="0.3">
      <c r="A48" s="2"/>
      <c r="E48" s="26" t="s">
        <v>45</v>
      </c>
      <c r="F48" s="27"/>
      <c r="H48" s="26" t="s">
        <v>46</v>
      </c>
      <c r="I48" s="27"/>
    </row>
    <row r="49" spans="1:13" x14ac:dyDescent="0.25">
      <c r="A49" t="s">
        <v>51</v>
      </c>
      <c r="E49" s="13">
        <v>1</v>
      </c>
      <c r="F49" s="14" t="s">
        <v>8</v>
      </c>
      <c r="H49" s="17">
        <v>3.4000000000000002E-2</v>
      </c>
      <c r="I49" s="14" t="s">
        <v>8</v>
      </c>
    </row>
    <row r="50" spans="1:13" x14ac:dyDescent="0.25">
      <c r="A50" t="s">
        <v>9</v>
      </c>
      <c r="E50" s="15">
        <f>($F$39-$B$69)/$B$39</f>
        <v>1.108876759551853E-2</v>
      </c>
      <c r="F50" s="14" t="s">
        <v>8</v>
      </c>
      <c r="H50" s="15">
        <f>($F$39-$B$69)/$B$39</f>
        <v>1.108876759551853E-2</v>
      </c>
      <c r="I50" s="14" t="s">
        <v>8</v>
      </c>
    </row>
    <row r="51" spans="1:13" x14ac:dyDescent="0.25">
      <c r="A51" t="s">
        <v>10</v>
      </c>
      <c r="E51" s="15">
        <f>F39/100</f>
        <v>0.05</v>
      </c>
      <c r="F51" s="14" t="s">
        <v>8</v>
      </c>
      <c r="H51" s="17">
        <v>0</v>
      </c>
      <c r="I51" s="14" t="s">
        <v>8</v>
      </c>
    </row>
    <row r="52" spans="1:13" x14ac:dyDescent="0.25">
      <c r="A52" t="s">
        <v>11</v>
      </c>
      <c r="E52" s="15">
        <f>$F$39/470</f>
        <v>1.0638297872340425E-2</v>
      </c>
      <c r="F52" s="14" t="s">
        <v>8</v>
      </c>
      <c r="H52" s="15">
        <f>$F$39/470</f>
        <v>1.0638297872340425E-2</v>
      </c>
      <c r="I52" s="14" t="s">
        <v>8</v>
      </c>
    </row>
    <row r="53" spans="1:13" x14ac:dyDescent="0.25">
      <c r="A53" t="s">
        <v>12</v>
      </c>
      <c r="E53" s="15">
        <f>0.66*$F$39/220</f>
        <v>1.5000000000000001E-2</v>
      </c>
      <c r="F53" s="14" t="s">
        <v>8</v>
      </c>
      <c r="H53" s="15">
        <f>0.66*$F$39/220</f>
        <v>1.5000000000000001E-2</v>
      </c>
      <c r="I53" s="14" t="s">
        <v>8</v>
      </c>
    </row>
    <row r="54" spans="1:13" x14ac:dyDescent="0.25">
      <c r="A54" t="s">
        <v>13</v>
      </c>
      <c r="E54" s="15">
        <f>F39/47</f>
        <v>0.10638297872340426</v>
      </c>
      <c r="F54" s="14" t="s">
        <v>8</v>
      </c>
      <c r="H54" s="17">
        <v>0</v>
      </c>
      <c r="I54" s="14" t="s">
        <v>8</v>
      </c>
    </row>
    <row r="55" spans="1:13" x14ac:dyDescent="0.25">
      <c r="A55" t="s">
        <v>44</v>
      </c>
      <c r="E55" s="13">
        <v>0.05</v>
      </c>
      <c r="F55" s="14" t="s">
        <v>8</v>
      </c>
      <c r="H55" s="17">
        <v>0.1</v>
      </c>
      <c r="I55" s="14" t="s">
        <v>8</v>
      </c>
    </row>
    <row r="56" spans="1:13" x14ac:dyDescent="0.25">
      <c r="A56" t="s">
        <v>14</v>
      </c>
      <c r="E56" s="16">
        <f>SUM(E49:E55)</f>
        <v>1.2431100441912633</v>
      </c>
      <c r="F56" s="14" t="s">
        <v>8</v>
      </c>
      <c r="H56" s="16">
        <f>SUM(H49:H55)</f>
        <v>0.17072706546785898</v>
      </c>
      <c r="I56" s="14" t="s">
        <v>8</v>
      </c>
    </row>
    <row r="57" spans="1:13" x14ac:dyDescent="0.25">
      <c r="E57" s="17"/>
      <c r="F57" s="14"/>
      <c r="H57" s="17"/>
      <c r="I57" s="14"/>
      <c r="M57" s="4"/>
    </row>
    <row r="58" spans="1:13" x14ac:dyDescent="0.25">
      <c r="E58" s="17"/>
      <c r="F58" s="14"/>
      <c r="H58" s="17"/>
      <c r="I58" s="14"/>
      <c r="M58" s="4"/>
    </row>
    <row r="59" spans="1:13" x14ac:dyDescent="0.25">
      <c r="A59" t="s">
        <v>39</v>
      </c>
      <c r="E59" s="18">
        <f>($J$38-$F$39)/E56</f>
        <v>197.08633289934599</v>
      </c>
      <c r="F59" s="14" t="s">
        <v>2</v>
      </c>
      <c r="H59" s="18">
        <f>($J$38-$F$39)/H56</f>
        <v>1435.0390158034058</v>
      </c>
      <c r="I59" s="14" t="s">
        <v>2</v>
      </c>
    </row>
    <row r="60" spans="1:13" x14ac:dyDescent="0.25">
      <c r="A60" t="s">
        <v>47</v>
      </c>
      <c r="E60" s="18">
        <f>($J$36-$J$37)*1.414</f>
        <v>435.512</v>
      </c>
      <c r="F60" s="14" t="s">
        <v>16</v>
      </c>
      <c r="H60" s="18">
        <f>($J$36-$J$37)*1.414</f>
        <v>435.512</v>
      </c>
      <c r="I60" s="14" t="s">
        <v>16</v>
      </c>
    </row>
    <row r="61" spans="1:13" x14ac:dyDescent="0.25">
      <c r="A61" t="s">
        <v>48</v>
      </c>
      <c r="E61" s="19">
        <f>(E60-$F$39)^2/(1000*E59)</f>
        <v>0.94040301738556042</v>
      </c>
      <c r="F61" s="14" t="s">
        <v>17</v>
      </c>
      <c r="H61" s="19">
        <f>(H60-$F$39)^2/(1000*H59)</f>
        <v>0.12915368857775425</v>
      </c>
      <c r="I61" s="14" t="s">
        <v>17</v>
      </c>
    </row>
    <row r="62" spans="1:13" x14ac:dyDescent="0.25">
      <c r="A62" t="s">
        <v>49</v>
      </c>
      <c r="E62" s="20">
        <f>ROUNDUP((E61/0.125),0)</f>
        <v>8</v>
      </c>
      <c r="F62" s="14" t="s">
        <v>18</v>
      </c>
      <c r="H62" s="20">
        <f>ROUNDUP((H61/0.125),0)</f>
        <v>2</v>
      </c>
      <c r="I62" s="14" t="s">
        <v>18</v>
      </c>
    </row>
    <row r="63" spans="1:13" x14ac:dyDescent="0.25">
      <c r="A63" t="s">
        <v>50</v>
      </c>
      <c r="D63" s="4"/>
      <c r="E63" s="21">
        <f>E59/E62</f>
        <v>24.635791612418249</v>
      </c>
      <c r="F63" s="22" t="s">
        <v>2</v>
      </c>
      <c r="H63" s="21">
        <f>H59/H62</f>
        <v>717.51950790170292</v>
      </c>
      <c r="I63" s="22" t="s">
        <v>2</v>
      </c>
    </row>
    <row r="66" spans="1:5" hidden="1" x14ac:dyDescent="0.25">
      <c r="A66" s="9" t="s">
        <v>37</v>
      </c>
      <c r="B66" s="9"/>
      <c r="C66" s="9"/>
      <c r="D66" s="9"/>
      <c r="E66" s="9"/>
    </row>
    <row r="67" spans="1:5" hidden="1" x14ac:dyDescent="0.25">
      <c r="A67" s="9" t="s">
        <v>4</v>
      </c>
      <c r="B67" s="10">
        <f>F39*(F36*F37+B39*F36)/(B39*F37+F36*F37+B39*F36)</f>
        <v>4.0933816863100638</v>
      </c>
      <c r="C67" s="9" t="s">
        <v>5</v>
      </c>
      <c r="D67" s="10">
        <f>J37+B67*($B$36+$B$37+$B$38)/$B$38</f>
        <v>424.43699002719859</v>
      </c>
      <c r="E67" s="9" t="s">
        <v>31</v>
      </c>
    </row>
    <row r="68" spans="1:5" hidden="1" x14ac:dyDescent="0.25">
      <c r="A68" s="9"/>
      <c r="B68" s="9"/>
      <c r="C68" s="9"/>
      <c r="D68" s="9"/>
      <c r="E68" s="9"/>
    </row>
    <row r="69" spans="1:5" hidden="1" x14ac:dyDescent="0.25">
      <c r="A69" s="9" t="s">
        <v>7</v>
      </c>
      <c r="B69" s="10">
        <f>F39*(F36*F37*F38+B39*F36*F38)/(B39*F37*F38+B39*F36*F37+F36*F37*F38+B39*F36*F38)</f>
        <v>3.8911232404481471</v>
      </c>
      <c r="C69" s="9" t="s">
        <v>5</v>
      </c>
      <c r="D69" s="10">
        <f>J37+B69*($B$36+$B$37+$B$38)/$B$38</f>
        <v>403.5639184142488</v>
      </c>
      <c r="E69" s="9" t="s">
        <v>31</v>
      </c>
    </row>
  </sheetData>
  <sheetProtection password="DD03" sheet="1" objects="1" scenarios="1"/>
  <mergeCells count="4">
    <mergeCell ref="A33:D33"/>
    <mergeCell ref="F33:J33"/>
    <mergeCell ref="E48:F48"/>
    <mergeCell ref="H48:I48"/>
  </mergeCells>
  <pageMargins left="0.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FFXBQG</dc:creator>
  <cp:lastModifiedBy>user</cp:lastModifiedBy>
  <dcterms:created xsi:type="dcterms:W3CDTF">2013-12-20T17:31:03Z</dcterms:created>
  <dcterms:modified xsi:type="dcterms:W3CDTF">2014-04-24T17:47:54Z</dcterms:modified>
</cp:coreProperties>
</file>